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P\!!КСПУ\2022\16 02 22\2-v\"/>
    </mc:Choice>
  </mc:AlternateContent>
  <bookViews>
    <workbookView xWindow="120" yWindow="150" windowWidth="24915" windowHeight="11565"/>
  </bookViews>
  <sheets>
    <sheet name="Лист1" sheetId="1" r:id="rId1"/>
  </sheets>
  <externalReferences>
    <externalReference r:id="rId2"/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D134" i="1" l="1"/>
  <c r="J132" i="1"/>
  <c r="H132" i="1"/>
  <c r="F132" i="1"/>
  <c r="D132" i="1"/>
  <c r="J130" i="1"/>
  <c r="H130" i="1"/>
  <c r="F130" i="1"/>
  <c r="D130" i="1"/>
  <c r="G119" i="1"/>
  <c r="F119" i="1"/>
  <c r="E119" i="1"/>
  <c r="E117" i="1"/>
  <c r="C117" i="1"/>
  <c r="K114" i="1"/>
  <c r="J114" i="1"/>
  <c r="I114" i="1"/>
  <c r="H114" i="1"/>
  <c r="G114" i="1"/>
  <c r="F114" i="1"/>
  <c r="E114" i="1"/>
  <c r="C114" i="1"/>
  <c r="F106" i="1"/>
  <c r="E106" i="1"/>
  <c r="C106" i="1"/>
  <c r="F105" i="1"/>
  <c r="E105" i="1"/>
  <c r="C105" i="1"/>
  <c r="F104" i="1"/>
  <c r="F107" i="1" s="1"/>
  <c r="E104" i="1"/>
  <c r="C104" i="1"/>
  <c r="C107" i="1" s="1"/>
  <c r="I96" i="1"/>
  <c r="G96" i="1"/>
  <c r="E96" i="1"/>
  <c r="C96" i="1"/>
  <c r="J84" i="1"/>
  <c r="J81" i="1"/>
  <c r="H81" i="1"/>
  <c r="F81" i="1"/>
  <c r="J78" i="1"/>
  <c r="H78" i="1"/>
  <c r="F78" i="1"/>
  <c r="I75" i="1"/>
  <c r="G75" i="1"/>
  <c r="E75" i="1"/>
  <c r="C75" i="1"/>
  <c r="J74" i="1"/>
  <c r="G122" i="1" s="1"/>
  <c r="H74" i="1"/>
  <c r="F122" i="1" s="1"/>
  <c r="F74" i="1"/>
  <c r="E122" i="1" s="1"/>
  <c r="J73" i="1"/>
  <c r="G121" i="1" s="1"/>
  <c r="H73" i="1"/>
  <c r="F121" i="1" s="1"/>
  <c r="F73" i="1"/>
  <c r="E121" i="1" s="1"/>
  <c r="J72" i="1"/>
  <c r="G120" i="1" s="1"/>
  <c r="G123" i="1" s="1"/>
  <c r="H72" i="1"/>
  <c r="F72" i="1"/>
  <c r="E120" i="1" s="1"/>
  <c r="E123" i="1" s="1"/>
  <c r="J70" i="1"/>
  <c r="H70" i="1"/>
  <c r="F70" i="1"/>
  <c r="J66" i="1"/>
  <c r="H66" i="1"/>
  <c r="F66" i="1"/>
  <c r="D66" i="1"/>
  <c r="K61" i="1"/>
  <c r="I59" i="1"/>
  <c r="G59" i="1"/>
  <c r="E59" i="1"/>
  <c r="C59" i="1"/>
  <c r="C50" i="1"/>
  <c r="I49" i="1"/>
  <c r="I84" i="1" s="1"/>
  <c r="G49" i="1"/>
  <c r="G84" i="1" s="1"/>
  <c r="E49" i="1"/>
  <c r="E84" i="1" s="1"/>
  <c r="C49" i="1"/>
  <c r="C84" i="1" s="1"/>
  <c r="J46" i="1"/>
  <c r="I46" i="1" s="1"/>
  <c r="G46" i="1"/>
  <c r="E46" i="1"/>
  <c r="D46" i="1"/>
  <c r="C46" i="1" s="1"/>
  <c r="J45" i="1"/>
  <c r="J41" i="1" s="1"/>
  <c r="H45" i="1"/>
  <c r="F45" i="1"/>
  <c r="F41" i="1" s="1"/>
  <c r="D45" i="1"/>
  <c r="K45" i="1"/>
  <c r="J44" i="1"/>
  <c r="I44" i="1"/>
  <c r="H44" i="1"/>
  <c r="G44" i="1"/>
  <c r="F44" i="1"/>
  <c r="E44" i="1"/>
  <c r="D44" i="1"/>
  <c r="C44" i="1"/>
  <c r="K44" i="1" s="1"/>
  <c r="J43" i="1"/>
  <c r="I43" i="1"/>
  <c r="H43" i="1"/>
  <c r="G43" i="1"/>
  <c r="F43" i="1"/>
  <c r="E43" i="1"/>
  <c r="D43" i="1"/>
  <c r="K43" i="1"/>
  <c r="J42" i="1"/>
  <c r="G42" i="1"/>
  <c r="G41" i="1" s="1"/>
  <c r="D42" i="1"/>
  <c r="C42" i="1" s="1"/>
  <c r="C41" i="1" s="1"/>
  <c r="H41" i="1"/>
  <c r="J40" i="1"/>
  <c r="H40" i="1"/>
  <c r="G40" i="1" s="1"/>
  <c r="F40" i="1"/>
  <c r="D40" i="1"/>
  <c r="C40" i="1" s="1"/>
  <c r="J39" i="1"/>
  <c r="H39" i="1"/>
  <c r="G39" i="1" s="1"/>
  <c r="F39" i="1"/>
  <c r="D39" i="1"/>
  <c r="C39" i="1" s="1"/>
  <c r="J31" i="1"/>
  <c r="G31" i="1"/>
  <c r="D31" i="1"/>
  <c r="C31" i="1" s="1"/>
  <c r="J30" i="1"/>
  <c r="G30" i="1"/>
  <c r="D30" i="1"/>
  <c r="C30" i="1" s="1"/>
  <c r="J29" i="1"/>
  <c r="G29" i="1"/>
  <c r="G28" i="1" s="1"/>
  <c r="D29" i="1"/>
  <c r="C29" i="1" s="1"/>
  <c r="J28" i="1"/>
  <c r="H28" i="1"/>
  <c r="F28" i="1"/>
  <c r="D28" i="1"/>
  <c r="J27" i="1"/>
  <c r="H27" i="1"/>
  <c r="G27" i="1" s="1"/>
  <c r="D27" i="1"/>
  <c r="C27" i="1" s="1"/>
  <c r="J26" i="1"/>
  <c r="I26" i="1" s="1"/>
  <c r="H26" i="1"/>
  <c r="G26" i="1" s="1"/>
  <c r="D26" i="1"/>
  <c r="C26" i="1" s="1"/>
  <c r="J25" i="1"/>
  <c r="H25" i="1"/>
  <c r="G25" i="1" s="1"/>
  <c r="D25" i="1"/>
  <c r="C25" i="1" s="1"/>
  <c r="H24" i="1"/>
  <c r="J23" i="1"/>
  <c r="H23" i="1"/>
  <c r="G23" i="1" s="1"/>
  <c r="D23" i="1"/>
  <c r="C23" i="1" s="1"/>
  <c r="J22" i="1"/>
  <c r="H22" i="1"/>
  <c r="G22" i="1" s="1"/>
  <c r="G89" i="1" s="1"/>
  <c r="D22" i="1"/>
  <c r="C22" i="1" s="1"/>
  <c r="C89" i="1" s="1"/>
  <c r="J21" i="1"/>
  <c r="J20" i="1" s="1"/>
  <c r="H21" i="1"/>
  <c r="G21" i="1" s="1"/>
  <c r="D21" i="1"/>
  <c r="C21" i="1" s="1"/>
  <c r="J19" i="1"/>
  <c r="I19" i="1" s="1"/>
  <c r="H19" i="1"/>
  <c r="G19" i="1" s="1"/>
  <c r="E19" i="1"/>
  <c r="D19" i="1"/>
  <c r="C19" i="1" s="1"/>
  <c r="J18" i="1"/>
  <c r="I18" i="1" s="1"/>
  <c r="H18" i="1"/>
  <c r="G18" i="1" s="1"/>
  <c r="E18" i="1"/>
  <c r="D18" i="1"/>
  <c r="C18" i="1" s="1"/>
  <c r="I17" i="1"/>
  <c r="G17" i="1"/>
  <c r="E17" i="1"/>
  <c r="D17" i="1"/>
  <c r="C17" i="1"/>
  <c r="K17" i="1" s="1"/>
  <c r="G16" i="1"/>
  <c r="C16" i="1"/>
  <c r="G15" i="1"/>
  <c r="D15" i="1"/>
  <c r="C15" i="1" s="1"/>
  <c r="H14" i="1"/>
  <c r="G14" i="1" s="1"/>
  <c r="D14" i="1"/>
  <c r="C14" i="1" s="1"/>
  <c r="J13" i="1"/>
  <c r="G13" i="1"/>
  <c r="D13" i="1"/>
  <c r="C13" i="1" s="1"/>
  <c r="J12" i="1"/>
  <c r="H12" i="1"/>
  <c r="G12" i="1" s="1"/>
  <c r="D12" i="1"/>
  <c r="C12" i="1" s="1"/>
  <c r="F11" i="1"/>
  <c r="F10" i="1" s="1"/>
  <c r="G24" i="1" l="1"/>
  <c r="F38" i="1"/>
  <c r="F48" i="1" s="1"/>
  <c r="D24" i="1"/>
  <c r="E27" i="1"/>
  <c r="K27" i="1" s="1"/>
  <c r="I27" i="1"/>
  <c r="E29" i="1"/>
  <c r="I29" i="1"/>
  <c r="E30" i="1"/>
  <c r="K30" i="1" s="1"/>
  <c r="I30" i="1"/>
  <c r="E31" i="1"/>
  <c r="I31" i="1"/>
  <c r="E39" i="1"/>
  <c r="K39" i="1" s="1"/>
  <c r="I39" i="1"/>
  <c r="E40" i="1"/>
  <c r="K40" i="1" s="1"/>
  <c r="I40" i="1"/>
  <c r="D11" i="1"/>
  <c r="H11" i="1"/>
  <c r="E12" i="1"/>
  <c r="K12" i="1" s="1"/>
  <c r="I12" i="1"/>
  <c r="E13" i="1"/>
  <c r="K13" i="1" s="1"/>
  <c r="I13" i="1"/>
  <c r="E14" i="1"/>
  <c r="K14" i="1" s="1"/>
  <c r="J14" i="1"/>
  <c r="E15" i="1"/>
  <c r="K15" i="1" s="1"/>
  <c r="I15" i="1"/>
  <c r="E16" i="1"/>
  <c r="K16" i="1" s="1"/>
  <c r="I16" i="1"/>
  <c r="G60" i="1"/>
  <c r="E21" i="1"/>
  <c r="I21" i="1"/>
  <c r="E22" i="1"/>
  <c r="E89" i="1" s="1"/>
  <c r="I22" i="1"/>
  <c r="I89" i="1" s="1"/>
  <c r="E23" i="1"/>
  <c r="I23" i="1"/>
  <c r="K23" i="1" s="1"/>
  <c r="J24" i="1"/>
  <c r="E25" i="1"/>
  <c r="I25" i="1"/>
  <c r="E26" i="1"/>
  <c r="K26" i="1" s="1"/>
  <c r="E42" i="1"/>
  <c r="E41" i="1" s="1"/>
  <c r="I42" i="1"/>
  <c r="I41" i="1" s="1"/>
  <c r="H75" i="1"/>
  <c r="E107" i="1"/>
  <c r="G107" i="1" s="1"/>
  <c r="E11" i="1"/>
  <c r="J11" i="1"/>
  <c r="J10" i="1" s="1"/>
  <c r="J38" i="1" s="1"/>
  <c r="J48" i="1" s="1"/>
  <c r="C20" i="1"/>
  <c r="I24" i="1"/>
  <c r="D41" i="1"/>
  <c r="G11" i="1"/>
  <c r="G20" i="1"/>
  <c r="I11" i="1"/>
  <c r="K18" i="1"/>
  <c r="D20" i="1"/>
  <c r="D10" i="1" s="1"/>
  <c r="D38" i="1" s="1"/>
  <c r="D48" i="1" s="1"/>
  <c r="H20" i="1"/>
  <c r="H10" i="1" s="1"/>
  <c r="H38" i="1" s="1"/>
  <c r="H48" i="1" s="1"/>
  <c r="I20" i="1"/>
  <c r="K31" i="1"/>
  <c r="C11" i="1"/>
  <c r="C24" i="1"/>
  <c r="E38" i="1"/>
  <c r="E47" i="1" s="1"/>
  <c r="E101" i="1" s="1"/>
  <c r="K19" i="1"/>
  <c r="K21" i="1"/>
  <c r="K25" i="1"/>
  <c r="C28" i="1"/>
  <c r="C60" i="1"/>
  <c r="K42" i="1"/>
  <c r="K46" i="1"/>
  <c r="C55" i="1"/>
  <c r="D55" i="1" s="1"/>
  <c r="K49" i="1"/>
  <c r="C53" i="1"/>
  <c r="C54" i="1"/>
  <c r="D54" i="1" s="1"/>
  <c r="F120" i="1"/>
  <c r="F123" i="1" s="1"/>
  <c r="F75" i="1"/>
  <c r="J75" i="1"/>
  <c r="E60" i="1" l="1"/>
  <c r="E28" i="1"/>
  <c r="K28" i="1" s="1"/>
  <c r="K22" i="1"/>
  <c r="K29" i="1"/>
  <c r="K60" i="1" s="1"/>
  <c r="I60" i="1"/>
  <c r="I28" i="1"/>
  <c r="E20" i="1"/>
  <c r="K20" i="1" s="1"/>
  <c r="E24" i="1"/>
  <c r="K24" i="1" s="1"/>
  <c r="I10" i="1"/>
  <c r="G10" i="1"/>
  <c r="G38" i="1" s="1"/>
  <c r="D53" i="1"/>
  <c r="C52" i="1"/>
  <c r="C10" i="1"/>
  <c r="K11" i="1"/>
  <c r="I38" i="1" l="1"/>
  <c r="I47" i="1" s="1"/>
  <c r="E10" i="1"/>
  <c r="G47" i="1"/>
  <c r="G101" i="1" s="1"/>
  <c r="E108" i="1"/>
  <c r="I101" i="1"/>
  <c r="C38" i="1"/>
  <c r="K10" i="1"/>
  <c r="K62" i="1"/>
  <c r="D52" i="1"/>
  <c r="D51" i="1" s="1"/>
  <c r="D57" i="1" s="1"/>
  <c r="C51" i="1"/>
  <c r="F108" i="1" l="1"/>
  <c r="C47" i="1"/>
  <c r="K38" i="1"/>
  <c r="C108" i="1"/>
  <c r="C56" i="1"/>
  <c r="C101" i="1" l="1"/>
  <c r="K47" i="1"/>
</calcChain>
</file>

<file path=xl/sharedStrings.xml><?xml version="1.0" encoding="utf-8"?>
<sst xmlns="http://schemas.openxmlformats.org/spreadsheetml/2006/main" count="155" uniqueCount="122">
  <si>
    <t>Додаток 1</t>
  </si>
  <si>
    <t xml:space="preserve">до рішення виконавчого комітету </t>
  </si>
  <si>
    <t>від _____________ № _________</t>
  </si>
  <si>
    <t>Структура тарифа на теплову енергію</t>
  </si>
  <si>
    <t>ТОВ "КППВ"</t>
  </si>
  <si>
    <t>(найменування ліцензіата)</t>
  </si>
  <si>
    <t>без ПДВ</t>
  </si>
  <si>
    <t>№ з/п</t>
  </si>
  <si>
    <t>Показники</t>
  </si>
  <si>
    <t>Для потреб населення</t>
  </si>
  <si>
    <t>Для  потреб бюджетних установ</t>
  </si>
  <si>
    <t>Для  потреб інших споживачів</t>
  </si>
  <si>
    <t>Для  потреб релігії</t>
  </si>
  <si>
    <t>Всього, тис.грн.</t>
  </si>
  <si>
    <t>%</t>
  </si>
  <si>
    <t>тис.грн.</t>
  </si>
  <si>
    <t>грн/Гкал</t>
  </si>
  <si>
    <t>Виробнича собівартість, у  т.ч.:</t>
  </si>
  <si>
    <t>1.1</t>
  </si>
  <si>
    <t>прямі матеріальні витрати, у т.ч.:</t>
  </si>
  <si>
    <t>1.1.1</t>
  </si>
  <si>
    <t>витрати на паливо</t>
  </si>
  <si>
    <t>1.1.2</t>
  </si>
  <si>
    <t>витрати на електроенергію</t>
  </si>
  <si>
    <t>1.1.3</t>
  </si>
  <si>
    <t xml:space="preserve">витрати на покупну теплову енергію   </t>
  </si>
  <si>
    <t>1.1.4</t>
  </si>
  <si>
    <t>витрати на розподіл газу</t>
  </si>
  <si>
    <t>1.1.5</t>
  </si>
  <si>
    <t xml:space="preserve">транспортування теплової енергії тепловими мережами інших підприємств </t>
  </si>
  <si>
    <t>1.1.6</t>
  </si>
  <si>
    <t>вода для технологічних потреб та водовідведення</t>
  </si>
  <si>
    <t>1.1.7</t>
  </si>
  <si>
    <t>матеріали, запасні  частини та інші матеріальні ресурси</t>
  </si>
  <si>
    <t>1.2</t>
  </si>
  <si>
    <t>прямі витрати на оплату праці</t>
  </si>
  <si>
    <t>1.3</t>
  </si>
  <si>
    <t>інші прямі витрати, у т.ч.:</t>
  </si>
  <si>
    <t>1.3.1</t>
  </si>
  <si>
    <t xml:space="preserve"> відрахування  на соціальні заходи</t>
  </si>
  <si>
    <t>1.3.2</t>
  </si>
  <si>
    <t xml:space="preserve"> амортизаційні відрахування</t>
  </si>
  <si>
    <t>1.3.3</t>
  </si>
  <si>
    <t xml:space="preserve"> інші прямі витрати</t>
  </si>
  <si>
    <t>1.4</t>
  </si>
  <si>
    <t>загальновиробничі витрати, у т.ч.:</t>
  </si>
  <si>
    <t>1.4.1</t>
  </si>
  <si>
    <t>витрати на оплату праці</t>
  </si>
  <si>
    <t>1.4.2</t>
  </si>
  <si>
    <t>відрахування  на соціальні заходи</t>
  </si>
  <si>
    <t>1.4.3</t>
  </si>
  <si>
    <t>інші витрати</t>
  </si>
  <si>
    <t>Адміністративні витрати, у т.ч.:</t>
  </si>
  <si>
    <t>2.1</t>
  </si>
  <si>
    <t>2.2</t>
  </si>
  <si>
    <t>відрахування на соціальні заходи</t>
  </si>
  <si>
    <t>2.3</t>
  </si>
  <si>
    <t>3</t>
  </si>
  <si>
    <t>Витрати на збут, зокрема:</t>
  </si>
  <si>
    <t>3.1</t>
  </si>
  <si>
    <t>3.2</t>
  </si>
  <si>
    <t>3.3</t>
  </si>
  <si>
    <t>4</t>
  </si>
  <si>
    <t>Інші операційні витрати**</t>
  </si>
  <si>
    <t>5</t>
  </si>
  <si>
    <t>Фінансові витрати</t>
  </si>
  <si>
    <t>6</t>
  </si>
  <si>
    <t>Повна собівартість*</t>
  </si>
  <si>
    <t>7</t>
  </si>
  <si>
    <t>Витрати на теплову енергію для компенсації втрат теплової енергії в теплових мережах ТОВ "Сумитеплоенерго"</t>
  </si>
  <si>
    <t>Перерахунок по вартості газу та електроенергії</t>
  </si>
  <si>
    <t>8</t>
  </si>
  <si>
    <t>Розрахунковий прибуток, усього *, у т.ч.:</t>
  </si>
  <si>
    <t>8.1</t>
  </si>
  <si>
    <t>податок на прибуток</t>
  </si>
  <si>
    <t>8.2</t>
  </si>
  <si>
    <t>резервний фонд (капітал)</t>
  </si>
  <si>
    <t>8.3</t>
  </si>
  <si>
    <t>дивіденди</t>
  </si>
  <si>
    <t>на розвиток виробництва (виробничі інвестиції)</t>
  </si>
  <si>
    <t>8.4</t>
  </si>
  <si>
    <t>інше використання прибутку (обігові кошти)</t>
  </si>
  <si>
    <t>9</t>
  </si>
  <si>
    <t>Вартість виробництва теплової енергії за відповідними тарифами</t>
  </si>
  <si>
    <t>10</t>
  </si>
  <si>
    <t>Тариф на теплову енергію, грн/Гкал</t>
  </si>
  <si>
    <t>11</t>
  </si>
  <si>
    <t>Обсяг реалізації  теплової енергії власним споживачам, Гкал</t>
  </si>
  <si>
    <t>обсяг реалізації теплової енергії без приладів обліку, Гкал</t>
  </si>
  <si>
    <t>Розрахунковий прибуток, за умови відсутності приладів обліку:</t>
  </si>
  <si>
    <t>11.1</t>
  </si>
  <si>
    <t>11.2</t>
  </si>
  <si>
    <t>11.3</t>
  </si>
  <si>
    <t>виробничі інвестиції з урахуванням коштів на встановлення приладів обліку</t>
  </si>
  <si>
    <t>11.4</t>
  </si>
  <si>
    <t>12</t>
  </si>
  <si>
    <t>13</t>
  </si>
  <si>
    <t>Тариф на теплову енергію (без комерційних приладів обліку), грн/Гкал</t>
  </si>
  <si>
    <t>Рівень рентабельності, %</t>
  </si>
  <si>
    <t>ФОТ С ОТЧИСЛЕНИЯМИ</t>
  </si>
  <si>
    <t>ФОТ ПОСЛУГА+ВНЕШТАТНИКИ</t>
  </si>
  <si>
    <t>всего</t>
  </si>
  <si>
    <t>Директор ТОВ "КППВ"</t>
  </si>
  <si>
    <t>О.М. Резнік</t>
  </si>
  <si>
    <t>бюджет</t>
  </si>
  <si>
    <t>інші</t>
  </si>
  <si>
    <t>релігія</t>
  </si>
  <si>
    <t>наш тариф</t>
  </si>
  <si>
    <t>процент роста</t>
  </si>
  <si>
    <t>тариф СТЕ</t>
  </si>
  <si>
    <t>рентабельнось СТЕ в новых тарифах</t>
  </si>
  <si>
    <t>население</t>
  </si>
  <si>
    <t>Сума амортизації для ИП, грн.</t>
  </si>
  <si>
    <t>всього на ИП</t>
  </si>
  <si>
    <t>собывартість</t>
  </si>
  <si>
    <t>населення</t>
  </si>
  <si>
    <t>виробництво</t>
  </si>
  <si>
    <t>транспортування</t>
  </si>
  <si>
    <t>постачання</t>
  </si>
  <si>
    <t>всього</t>
  </si>
  <si>
    <t>перевірка з тарифом</t>
  </si>
  <si>
    <t>c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</si>
</sst>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0.000"/>
    <numFmt numFmtId="167" formatCode="#,##0.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5" fontId="14" fillId="0" borderId="0" applyFont="0" applyFill="0" applyBorder="0" applyAlignment="0" applyProtection="0"/>
    <xf numFmtId="0" fontId="17" fillId="0" borderId="0"/>
  </cellStyleXfs>
  <cellXfs count="230">
    <xf numFmtId="0" fontId="0" fillId="0" borderId="0" xfId="0"/>
    <xf numFmtId="49" fontId="3" fillId="0" borderId="0" xfId="2" applyNumberFormat="1" applyFont="1" applyAlignment="1">
      <alignment horizontal="left"/>
    </xf>
    <xf numFmtId="0" fontId="2" fillId="0" borderId="0" xfId="2" applyFont="1"/>
    <xf numFmtId="0" fontId="4" fillId="0" borderId="0" xfId="2" applyFont="1"/>
    <xf numFmtId="0" fontId="4" fillId="0" borderId="0" xfId="2" applyFont="1" applyAlignment="1">
      <alignment horizontal="right"/>
    </xf>
    <xf numFmtId="49" fontId="5" fillId="0" borderId="0" xfId="2" applyNumberFormat="1" applyFont="1" applyFill="1" applyAlignment="1">
      <alignment horizontal="left"/>
    </xf>
    <xf numFmtId="49" fontId="2" fillId="0" borderId="0" xfId="2" applyNumberFormat="1" applyFont="1" applyAlignment="1" applyProtection="1">
      <alignment horizontal="center"/>
    </xf>
    <xf numFmtId="0" fontId="4" fillId="0" borderId="0" xfId="0" applyFont="1" applyAlignment="1"/>
    <xf numFmtId="0" fontId="7" fillId="0" borderId="0" xfId="2" applyFont="1" applyAlignment="1" applyProtection="1">
      <alignment horizontal="center"/>
    </xf>
    <xf numFmtId="0" fontId="2" fillId="0" borderId="0" xfId="0" applyFont="1" applyAlignment="1"/>
    <xf numFmtId="0" fontId="2" fillId="0" borderId="0" xfId="2" applyNumberFormat="1" applyFont="1" applyBorder="1" applyAlignment="1" applyProtection="1">
      <alignment horizontal="center"/>
    </xf>
    <xf numFmtId="0" fontId="2" fillId="0" borderId="0" xfId="0" applyFont="1" applyBorder="1" applyAlignment="1"/>
    <xf numFmtId="0" fontId="4" fillId="0" borderId="0" xfId="2" applyFont="1" applyAlignment="1" applyProtection="1">
      <alignment horizontal="right"/>
    </xf>
    <xf numFmtId="0" fontId="9" fillId="0" borderId="0" xfId="2" applyFont="1" applyBorder="1" applyAlignment="1" applyProtection="1">
      <alignment horizontal="center" vertical="top"/>
    </xf>
    <xf numFmtId="4" fontId="9" fillId="0" borderId="0" xfId="2" applyNumberFormat="1" applyFont="1" applyBorder="1" applyAlignment="1" applyProtection="1">
      <alignment horizontal="center" vertical="top"/>
    </xf>
    <xf numFmtId="0" fontId="2" fillId="0" borderId="0" xfId="2" applyFont="1" applyAlignment="1" applyProtection="1">
      <alignment horizontal="right"/>
    </xf>
    <xf numFmtId="0" fontId="2" fillId="0" borderId="10" xfId="2" applyFont="1" applyBorder="1"/>
    <xf numFmtId="0" fontId="4" fillId="0" borderId="11" xfId="2" applyFont="1" applyBorder="1" applyAlignment="1" applyProtection="1">
      <alignment horizontal="center" vertical="center" wrapText="1"/>
    </xf>
    <xf numFmtId="0" fontId="4" fillId="0" borderId="12" xfId="2" applyFont="1" applyBorder="1" applyAlignment="1" applyProtection="1">
      <alignment horizontal="center" vertical="center" wrapText="1"/>
    </xf>
    <xf numFmtId="0" fontId="4" fillId="0" borderId="9" xfId="2" applyFont="1" applyBorder="1" applyAlignment="1" applyProtection="1">
      <alignment horizontal="center" vertical="center" wrapText="1"/>
    </xf>
    <xf numFmtId="0" fontId="4" fillId="0" borderId="2" xfId="2" applyFont="1" applyBorder="1" applyAlignment="1" applyProtection="1">
      <alignment horizontal="center" vertical="center" wrapText="1"/>
    </xf>
    <xf numFmtId="0" fontId="4" fillId="0" borderId="10" xfId="2" applyFont="1" applyBorder="1"/>
    <xf numFmtId="49" fontId="11" fillId="2" borderId="11" xfId="2" applyNumberFormat="1" applyFont="1" applyFill="1" applyBorder="1" applyAlignment="1" applyProtection="1">
      <alignment horizontal="center" vertical="center" wrapText="1"/>
    </xf>
    <xf numFmtId="0" fontId="11" fillId="2" borderId="10" xfId="2" applyFont="1" applyFill="1" applyBorder="1" applyAlignment="1" applyProtection="1">
      <alignment vertical="center" wrapText="1"/>
    </xf>
    <xf numFmtId="4" fontId="6" fillId="2" borderId="11" xfId="2" applyNumberFormat="1" applyFont="1" applyFill="1" applyBorder="1" applyAlignment="1" applyProtection="1">
      <alignment horizontal="center" vertical="center" wrapText="1"/>
    </xf>
    <xf numFmtId="4" fontId="6" fillId="2" borderId="14" xfId="2" applyNumberFormat="1" applyFont="1" applyFill="1" applyBorder="1" applyAlignment="1" applyProtection="1">
      <alignment horizontal="center" vertical="center" wrapText="1"/>
    </xf>
    <xf numFmtId="4" fontId="6" fillId="2" borderId="9" xfId="2" applyNumberFormat="1" applyFont="1" applyFill="1" applyBorder="1" applyAlignment="1" applyProtection="1">
      <alignment horizontal="center" vertical="center" wrapText="1"/>
    </xf>
    <xf numFmtId="4" fontId="6" fillId="2" borderId="1" xfId="2" applyNumberFormat="1" applyFont="1" applyFill="1" applyBorder="1" applyAlignment="1" applyProtection="1">
      <alignment horizontal="center" vertical="center" wrapText="1"/>
    </xf>
    <xf numFmtId="4" fontId="6" fillId="2" borderId="13" xfId="2" applyNumberFormat="1" applyFont="1" applyFill="1" applyBorder="1" applyAlignment="1" applyProtection="1">
      <alignment horizontal="center" vertical="center" wrapText="1"/>
    </xf>
    <xf numFmtId="2" fontId="3" fillId="0" borderId="0" xfId="2" applyNumberFormat="1" applyFont="1"/>
    <xf numFmtId="0" fontId="3" fillId="0" borderId="0" xfId="2" applyFont="1"/>
    <xf numFmtId="0" fontId="3" fillId="0" borderId="10" xfId="2" applyFont="1" applyBorder="1"/>
    <xf numFmtId="49" fontId="11" fillId="0" borderId="11" xfId="2" applyNumberFormat="1" applyFont="1" applyFill="1" applyBorder="1" applyAlignment="1" applyProtection="1">
      <alignment horizontal="center" vertical="center" wrapText="1"/>
    </xf>
    <xf numFmtId="0" fontId="11" fillId="0" borderId="10" xfId="2" applyFont="1" applyFill="1" applyBorder="1" applyAlignment="1" applyProtection="1">
      <alignment vertical="center" wrapText="1"/>
    </xf>
    <xf numFmtId="4" fontId="12" fillId="0" borderId="11" xfId="2" applyNumberFormat="1" applyFont="1" applyFill="1" applyBorder="1" applyAlignment="1" applyProtection="1">
      <alignment horizontal="center" vertical="center" wrapText="1"/>
    </xf>
    <xf numFmtId="4" fontId="6" fillId="0" borderId="14" xfId="2" applyNumberFormat="1" applyFont="1" applyFill="1" applyBorder="1" applyAlignment="1" applyProtection="1">
      <alignment horizontal="center" vertical="center" wrapText="1"/>
    </xf>
    <xf numFmtId="4" fontId="12" fillId="0" borderId="9" xfId="2" applyNumberFormat="1" applyFont="1" applyFill="1" applyBorder="1" applyAlignment="1" applyProtection="1">
      <alignment horizontal="center" vertical="center" wrapText="1"/>
    </xf>
    <xf numFmtId="4" fontId="6" fillId="0" borderId="1" xfId="2" applyNumberFormat="1" applyFont="1" applyFill="1" applyBorder="1" applyAlignment="1" applyProtection="1">
      <alignment horizontal="center" vertical="center" wrapText="1"/>
    </xf>
    <xf numFmtId="4" fontId="6" fillId="0" borderId="13" xfId="2" applyNumberFormat="1" applyFont="1" applyFill="1" applyBorder="1" applyAlignment="1" applyProtection="1">
      <alignment horizontal="center" vertical="center" wrapText="1"/>
    </xf>
    <xf numFmtId="49" fontId="4" fillId="0" borderId="11" xfId="2" applyNumberFormat="1" applyFont="1" applyBorder="1" applyAlignment="1" applyProtection="1">
      <alignment horizontal="center" vertical="center" wrapText="1"/>
    </xf>
    <xf numFmtId="0" fontId="4" fillId="0" borderId="10" xfId="2" applyFont="1" applyBorder="1" applyAlignment="1" applyProtection="1">
      <alignment vertical="center" wrapText="1"/>
    </xf>
    <xf numFmtId="4" fontId="5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2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4" fontId="3" fillId="4" borderId="12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13" xfId="2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2" applyNumberFormat="1" applyFont="1" applyFill="1" applyBorder="1" applyAlignment="1" applyProtection="1">
      <alignment horizontal="center" vertical="center" wrapText="1"/>
    </xf>
    <xf numFmtId="4" fontId="5" fillId="0" borderId="9" xfId="2" applyNumberFormat="1" applyFont="1" applyFill="1" applyBorder="1" applyAlignment="1" applyProtection="1">
      <alignment horizontal="center" vertical="center" wrapText="1"/>
    </xf>
    <xf numFmtId="4" fontId="3" fillId="0" borderId="2" xfId="2" applyNumberFormat="1" applyFont="1" applyFill="1" applyBorder="1" applyAlignment="1" applyProtection="1">
      <alignment horizontal="center" vertical="center" wrapText="1"/>
    </xf>
    <xf numFmtId="4" fontId="3" fillId="0" borderId="12" xfId="2" applyNumberFormat="1" applyFont="1" applyFill="1" applyBorder="1" applyAlignment="1" applyProtection="1">
      <alignment horizontal="center" vertical="center" wrapText="1"/>
    </xf>
    <xf numFmtId="4" fontId="3" fillId="4" borderId="2" xfId="2" applyNumberFormat="1" applyFont="1" applyFill="1" applyBorder="1" applyAlignment="1" applyProtection="1">
      <alignment horizontal="center" vertical="center" wrapText="1"/>
      <protection locked="0"/>
    </xf>
    <xf numFmtId="4" fontId="5" fillId="4" borderId="2" xfId="2" applyNumberFormat="1" applyFont="1" applyFill="1" applyBorder="1" applyAlignment="1" applyProtection="1">
      <alignment horizontal="center" vertical="center" wrapText="1"/>
      <protection locked="0"/>
    </xf>
    <xf numFmtId="4" fontId="3" fillId="4" borderId="2" xfId="2" applyNumberFormat="1" applyFont="1" applyFill="1" applyBorder="1" applyAlignment="1" applyProtection="1">
      <alignment horizontal="center" vertical="center" wrapText="1"/>
    </xf>
    <xf numFmtId="4" fontId="3" fillId="4" borderId="12" xfId="2" applyNumberFormat="1" applyFont="1" applyFill="1" applyBorder="1" applyAlignment="1" applyProtection="1">
      <alignment horizontal="center" vertical="center" wrapText="1"/>
    </xf>
    <xf numFmtId="4" fontId="3" fillId="0" borderId="13" xfId="2" applyNumberFormat="1" applyFont="1" applyFill="1" applyBorder="1" applyAlignment="1" applyProtection="1">
      <alignment horizontal="center" vertical="center" wrapText="1"/>
    </xf>
    <xf numFmtId="4" fontId="12" fillId="2" borderId="11" xfId="2" applyNumberFormat="1" applyFont="1" applyFill="1" applyBorder="1" applyAlignment="1" applyProtection="1">
      <alignment horizontal="center" vertical="center" wrapText="1"/>
    </xf>
    <xf numFmtId="4" fontId="12" fillId="2" borderId="9" xfId="2" applyNumberFormat="1" applyFont="1" applyFill="1" applyBorder="1" applyAlignment="1" applyProtection="1">
      <alignment horizontal="center" vertical="center" wrapText="1"/>
    </xf>
    <xf numFmtId="4" fontId="2" fillId="0" borderId="0" xfId="2" applyNumberFormat="1" applyFont="1"/>
    <xf numFmtId="4" fontId="5" fillId="0" borderId="15" xfId="2" applyNumberFormat="1" applyFont="1" applyFill="1" applyBorder="1" applyAlignment="1" applyProtection="1">
      <alignment horizontal="center" vertical="center" wrapText="1"/>
    </xf>
    <xf numFmtId="49" fontId="7" fillId="0" borderId="11" xfId="2" applyNumberFormat="1" applyFont="1" applyBorder="1" applyAlignment="1" applyProtection="1">
      <alignment horizontal="center" vertical="center" wrapText="1"/>
    </xf>
    <xf numFmtId="0" fontId="7" fillId="0" borderId="10" xfId="2" applyFont="1" applyBorder="1" applyAlignment="1" applyProtection="1">
      <alignment vertical="center" wrapText="1"/>
    </xf>
    <xf numFmtId="4" fontId="3" fillId="0" borderId="14" xfId="2" applyNumberFormat="1" applyFont="1" applyFill="1" applyBorder="1" applyAlignment="1" applyProtection="1">
      <alignment horizontal="center" vertical="center" wrapText="1"/>
    </xf>
    <xf numFmtId="4" fontId="3" fillId="0" borderId="1" xfId="2" applyNumberFormat="1" applyFont="1" applyFill="1" applyBorder="1" applyAlignment="1" applyProtection="1">
      <alignment horizontal="center" vertical="center" wrapText="1"/>
    </xf>
    <xf numFmtId="49" fontId="2" fillId="0" borderId="11" xfId="2" applyNumberFormat="1" applyFont="1" applyBorder="1" applyAlignment="1" applyProtection="1">
      <alignment horizontal="center" vertical="center" wrapText="1"/>
    </xf>
    <xf numFmtId="0" fontId="2" fillId="0" borderId="10" xfId="2" applyFont="1" applyBorder="1" applyAlignment="1" applyProtection="1">
      <alignment vertical="center" wrapText="1"/>
    </xf>
    <xf numFmtId="0" fontId="7" fillId="0" borderId="0" xfId="2" applyFont="1"/>
    <xf numFmtId="4" fontId="12" fillId="0" borderId="15" xfId="2" applyNumberFormat="1" applyFont="1" applyFill="1" applyBorder="1" applyAlignment="1" applyProtection="1">
      <alignment horizontal="center" vertical="center" wrapText="1"/>
    </xf>
    <xf numFmtId="4" fontId="6" fillId="0" borderId="12" xfId="2" applyNumberFormat="1" applyFont="1" applyFill="1" applyBorder="1" applyAlignment="1" applyProtection="1">
      <alignment horizontal="center" vertical="center" wrapText="1"/>
    </xf>
    <xf numFmtId="4" fontId="6" fillId="0" borderId="15" xfId="2" applyNumberFormat="1" applyFont="1" applyFill="1" applyBorder="1" applyAlignment="1" applyProtection="1">
      <alignment horizontal="center" vertical="center" wrapText="1"/>
    </xf>
    <xf numFmtId="0" fontId="7" fillId="0" borderId="0" xfId="2" applyFont="1" applyFill="1"/>
    <xf numFmtId="4" fontId="3" fillId="0" borderId="15" xfId="2" applyNumberFormat="1" applyFont="1" applyFill="1" applyBorder="1" applyAlignment="1" applyProtection="1">
      <alignment horizontal="center" vertical="center" wrapText="1"/>
    </xf>
    <xf numFmtId="4" fontId="6" fillId="2" borderId="15" xfId="2" applyNumberFormat="1" applyFont="1" applyFill="1" applyBorder="1" applyAlignment="1" applyProtection="1">
      <alignment horizontal="center" vertical="center" wrapText="1"/>
      <protection locked="0"/>
    </xf>
    <xf numFmtId="4" fontId="6" fillId="2" borderId="12" xfId="2" applyNumberFormat="1" applyFont="1" applyFill="1" applyBorder="1" applyAlignment="1" applyProtection="1">
      <alignment horizontal="center" vertical="center" wrapText="1"/>
      <protection locked="0"/>
    </xf>
    <xf numFmtId="4" fontId="6" fillId="2" borderId="2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2" applyNumberFormat="1" applyFont="1" applyFill="1" applyBorder="1" applyAlignment="1" applyProtection="1">
      <alignment horizontal="center" vertical="center" wrapText="1"/>
    </xf>
    <xf numFmtId="2" fontId="3" fillId="0" borderId="12" xfId="2" applyNumberFormat="1" applyFont="1" applyFill="1" applyBorder="1" applyAlignment="1" applyProtection="1">
      <alignment horizontal="center" vertical="center" wrapText="1"/>
    </xf>
    <xf numFmtId="2" fontId="5" fillId="0" borderId="2" xfId="2" applyNumberFormat="1" applyFont="1" applyFill="1" applyBorder="1" applyAlignment="1" applyProtection="1">
      <alignment horizontal="center" vertical="center" wrapText="1"/>
    </xf>
    <xf numFmtId="166" fontId="3" fillId="0" borderId="12" xfId="2" applyNumberFormat="1" applyFont="1" applyFill="1" applyBorder="1" applyAlignment="1" applyProtection="1">
      <alignment horizontal="center" vertical="center" wrapText="1"/>
    </xf>
    <xf numFmtId="4" fontId="12" fillId="2" borderId="14" xfId="2" applyNumberFormat="1" applyFont="1" applyFill="1" applyBorder="1" applyAlignment="1" applyProtection="1">
      <alignment horizontal="center" vertical="center" wrapText="1"/>
    </xf>
    <xf numFmtId="4" fontId="12" fillId="2" borderId="1" xfId="2" applyNumberFormat="1" applyFont="1" applyFill="1" applyBorder="1" applyAlignment="1" applyProtection="1">
      <alignment horizontal="center" vertical="center" wrapText="1"/>
    </xf>
    <xf numFmtId="49" fontId="4" fillId="0" borderId="11" xfId="2" applyNumberFormat="1" applyFont="1" applyFill="1" applyBorder="1" applyAlignment="1" applyProtection="1">
      <alignment horizontal="center" vertical="center" wrapText="1"/>
    </xf>
    <xf numFmtId="0" fontId="15" fillId="0" borderId="10" xfId="2" applyFont="1" applyFill="1" applyBorder="1" applyAlignment="1" applyProtection="1">
      <alignment vertical="center" wrapText="1"/>
    </xf>
    <xf numFmtId="2" fontId="3" fillId="0" borderId="11" xfId="2" applyNumberFormat="1" applyFont="1" applyFill="1" applyBorder="1" applyAlignment="1" applyProtection="1">
      <alignment horizontal="center" vertical="center" wrapText="1"/>
    </xf>
    <xf numFmtId="4" fontId="12" fillId="4" borderId="14" xfId="2" applyNumberFormat="1" applyFont="1" applyFill="1" applyBorder="1" applyAlignment="1" applyProtection="1">
      <alignment horizontal="center" vertical="center" wrapText="1"/>
    </xf>
    <xf numFmtId="2" fontId="3" fillId="0" borderId="9" xfId="2" applyNumberFormat="1" applyFont="1" applyFill="1" applyBorder="1" applyAlignment="1" applyProtection="1">
      <alignment horizontal="center" vertical="center" wrapText="1"/>
    </xf>
    <xf numFmtId="4" fontId="6" fillId="4" borderId="2" xfId="2" applyNumberFormat="1" applyFont="1" applyFill="1" applyBorder="1" applyAlignment="1" applyProtection="1">
      <alignment horizontal="center" vertical="center" wrapText="1"/>
    </xf>
    <xf numFmtId="4" fontId="6" fillId="4" borderId="12" xfId="2" applyNumberFormat="1" applyFont="1" applyFill="1" applyBorder="1" applyAlignment="1" applyProtection="1">
      <alignment horizontal="center" vertical="center" wrapText="1"/>
    </xf>
    <xf numFmtId="4" fontId="3" fillId="0" borderId="11" xfId="2" applyNumberFormat="1" applyFont="1" applyFill="1" applyBorder="1"/>
    <xf numFmtId="0" fontId="3" fillId="0" borderId="13" xfId="2" applyFont="1" applyFill="1" applyBorder="1"/>
    <xf numFmtId="49" fontId="4" fillId="0" borderId="16" xfId="2" applyNumberFormat="1" applyFont="1" applyBorder="1" applyAlignment="1" applyProtection="1">
      <alignment horizontal="center" vertical="center" wrapText="1"/>
    </xf>
    <xf numFmtId="0" fontId="11" fillId="0" borderId="17" xfId="2" applyFont="1" applyBorder="1" applyAlignment="1" applyProtection="1">
      <alignment vertical="center" wrapText="1"/>
    </xf>
    <xf numFmtId="167" fontId="12" fillId="0" borderId="16" xfId="3" applyNumberFormat="1" applyFont="1" applyFill="1" applyBorder="1" applyAlignment="1" applyProtection="1">
      <alignment horizontal="center" vertical="center" wrapText="1"/>
    </xf>
    <xf numFmtId="167" fontId="16" fillId="0" borderId="18" xfId="2" applyNumberFormat="1" applyFont="1" applyFill="1" applyBorder="1" applyAlignment="1" applyProtection="1">
      <alignment horizontal="center" vertical="center" wrapText="1"/>
    </xf>
    <xf numFmtId="167" fontId="12" fillId="0" borderId="19" xfId="3" applyNumberFormat="1" applyFont="1" applyFill="1" applyBorder="1" applyAlignment="1" applyProtection="1">
      <alignment horizontal="center" vertical="center" wrapText="1"/>
    </xf>
    <xf numFmtId="167" fontId="12" fillId="0" borderId="20" xfId="2" applyNumberFormat="1" applyFont="1" applyFill="1" applyBorder="1" applyAlignment="1" applyProtection="1">
      <alignment horizontal="center" vertical="center" wrapText="1"/>
    </xf>
    <xf numFmtId="167" fontId="12" fillId="0" borderId="18" xfId="2" applyNumberFormat="1" applyFont="1" applyFill="1" applyBorder="1" applyAlignment="1" applyProtection="1">
      <alignment horizontal="center" vertical="center" wrapText="1"/>
    </xf>
    <xf numFmtId="167" fontId="12" fillId="0" borderId="20" xfId="2" applyNumberFormat="1" applyFont="1" applyFill="1" applyBorder="1"/>
    <xf numFmtId="167" fontId="12" fillId="0" borderId="2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2" applyNumberFormat="1" applyFont="1" applyFill="1" applyBorder="1" applyAlignment="1" applyProtection="1">
      <alignment horizontal="center" vertical="center" wrapText="1"/>
    </xf>
    <xf numFmtId="0" fontId="18" fillId="0" borderId="4" xfId="4" applyFont="1" applyFill="1" applyBorder="1" applyAlignment="1">
      <alignment wrapText="1"/>
    </xf>
    <xf numFmtId="2" fontId="3" fillId="0" borderId="3" xfId="2" applyNumberFormat="1" applyFont="1" applyFill="1" applyBorder="1" applyAlignment="1" applyProtection="1">
      <alignment horizontal="center" vertical="center" wrapText="1"/>
    </xf>
    <xf numFmtId="4" fontId="12" fillId="0" borderId="6" xfId="2" applyNumberFormat="1" applyFont="1" applyFill="1" applyBorder="1" applyAlignment="1" applyProtection="1">
      <alignment horizontal="center" vertical="center" wrapText="1"/>
    </xf>
    <xf numFmtId="2" fontId="3" fillId="0" borderId="22" xfId="2" applyNumberFormat="1" applyFont="1" applyFill="1" applyBorder="1" applyAlignment="1" applyProtection="1">
      <alignment horizontal="center" vertical="center" wrapText="1"/>
    </xf>
    <xf numFmtId="4" fontId="6" fillId="0" borderId="23" xfId="2" applyNumberFormat="1" applyFont="1" applyFill="1" applyBorder="1" applyAlignment="1" applyProtection="1">
      <alignment horizontal="center" vertical="center" wrapText="1"/>
    </xf>
    <xf numFmtId="4" fontId="3" fillId="0" borderId="3" xfId="2" applyNumberFormat="1" applyFont="1" applyFill="1" applyBorder="1" applyAlignment="1" applyProtection="1">
      <alignment horizontal="center" vertical="center" wrapText="1"/>
    </xf>
    <xf numFmtId="4" fontId="6" fillId="0" borderId="24" xfId="2" applyNumberFormat="1" applyFont="1" applyFill="1" applyBorder="1" applyAlignment="1" applyProtection="1">
      <alignment horizontal="center" vertical="center" wrapText="1"/>
    </xf>
    <xf numFmtId="4" fontId="3" fillId="0" borderId="3" xfId="2" applyNumberFormat="1" applyFont="1" applyFill="1" applyBorder="1"/>
    <xf numFmtId="0" fontId="3" fillId="0" borderId="8" xfId="2" applyFont="1" applyFill="1" applyBorder="1"/>
    <xf numFmtId="49" fontId="4" fillId="0" borderId="25" xfId="2" applyNumberFormat="1" applyFont="1" applyFill="1" applyBorder="1" applyAlignment="1" applyProtection="1">
      <alignment horizontal="center" vertical="center" wrapText="1"/>
    </xf>
    <xf numFmtId="0" fontId="18" fillId="0" borderId="26" xfId="4" applyFont="1" applyFill="1" applyBorder="1" applyAlignment="1">
      <alignment wrapText="1"/>
    </xf>
    <xf numFmtId="2" fontId="6" fillId="0" borderId="25" xfId="2" applyNumberFormat="1" applyFont="1" applyFill="1" applyBorder="1" applyAlignment="1" applyProtection="1">
      <alignment horizontal="center" vertical="center" wrapText="1"/>
    </xf>
    <xf numFmtId="4" fontId="12" fillId="0" borderId="27" xfId="2" applyNumberFormat="1" applyFont="1" applyFill="1" applyBorder="1" applyAlignment="1" applyProtection="1">
      <alignment horizontal="center" vertical="center" wrapText="1"/>
    </xf>
    <xf numFmtId="2" fontId="3" fillId="0" borderId="28" xfId="2" applyNumberFormat="1" applyFont="1" applyFill="1" applyBorder="1" applyAlignment="1" applyProtection="1">
      <alignment horizontal="center" vertical="center" wrapText="1"/>
    </xf>
    <xf numFmtId="4" fontId="6" fillId="0" borderId="29" xfId="2" applyNumberFormat="1" applyFont="1" applyFill="1" applyBorder="1" applyAlignment="1" applyProtection="1">
      <alignment horizontal="center" vertical="center" wrapText="1"/>
    </xf>
    <xf numFmtId="4" fontId="3" fillId="0" borderId="25" xfId="2" applyNumberFormat="1" applyFont="1" applyFill="1" applyBorder="1" applyAlignment="1" applyProtection="1">
      <alignment horizontal="center" vertical="center" wrapText="1"/>
    </xf>
    <xf numFmtId="4" fontId="6" fillId="0" borderId="30" xfId="2" applyNumberFormat="1" applyFont="1" applyFill="1" applyBorder="1" applyAlignment="1" applyProtection="1">
      <alignment horizontal="center" vertical="center" wrapText="1"/>
    </xf>
    <xf numFmtId="4" fontId="3" fillId="0" borderId="25" xfId="2" applyNumberFormat="1" applyFont="1" applyFill="1" applyBorder="1"/>
    <xf numFmtId="0" fontId="3" fillId="0" borderId="31" xfId="2" applyFont="1" applyFill="1" applyBorder="1"/>
    <xf numFmtId="0" fontId="19" fillId="0" borderId="26" xfId="4" applyFont="1" applyFill="1" applyBorder="1" applyAlignment="1">
      <alignment wrapText="1"/>
    </xf>
    <xf numFmtId="4" fontId="5" fillId="0" borderId="14" xfId="2" applyNumberFormat="1" applyFont="1" applyFill="1" applyBorder="1" applyAlignment="1" applyProtection="1">
      <alignment horizontal="center" vertical="center" wrapText="1"/>
    </xf>
    <xf numFmtId="4" fontId="6" fillId="0" borderId="2" xfId="2" applyNumberFormat="1" applyFont="1" applyFill="1" applyBorder="1" applyAlignment="1" applyProtection="1">
      <alignment horizontal="center" vertical="center" wrapText="1"/>
    </xf>
    <xf numFmtId="0" fontId="4" fillId="0" borderId="10" xfId="2" applyFont="1" applyFill="1" applyBorder="1" applyAlignment="1" applyProtection="1">
      <alignment vertical="center" wrapText="1"/>
    </xf>
    <xf numFmtId="0" fontId="19" fillId="0" borderId="10" xfId="4" applyFont="1" applyFill="1" applyBorder="1" applyAlignment="1">
      <alignment vertical="top" wrapText="1"/>
    </xf>
    <xf numFmtId="2" fontId="6" fillId="2" borderId="11" xfId="2" applyNumberFormat="1" applyFont="1" applyFill="1" applyBorder="1" applyAlignment="1" applyProtection="1">
      <alignment horizontal="center" vertical="center" wrapText="1"/>
    </xf>
    <xf numFmtId="4" fontId="12" fillId="0" borderId="14" xfId="2" applyNumberFormat="1" applyFont="1" applyFill="1" applyBorder="1" applyAlignment="1" applyProtection="1">
      <alignment horizontal="center" vertical="center" wrapText="1"/>
    </xf>
    <xf numFmtId="49" fontId="11" fillId="0" borderId="32" xfId="2" applyNumberFormat="1" applyFont="1" applyFill="1" applyBorder="1" applyAlignment="1" applyProtection="1">
      <alignment horizontal="center" vertical="center" wrapText="1"/>
    </xf>
    <xf numFmtId="0" fontId="15" fillId="0" borderId="33" xfId="2" applyFont="1" applyFill="1" applyBorder="1" applyAlignment="1" applyProtection="1">
      <alignment vertical="center" wrapText="1"/>
    </xf>
    <xf numFmtId="2" fontId="3" fillId="0" borderId="32" xfId="2" applyNumberFormat="1" applyFont="1" applyFill="1" applyBorder="1" applyAlignment="1" applyProtection="1">
      <alignment horizontal="center" vertical="center" wrapText="1"/>
    </xf>
    <xf numFmtId="4" fontId="6" fillId="4" borderId="34" xfId="2" applyNumberFormat="1" applyFont="1" applyFill="1" applyBorder="1" applyAlignment="1" applyProtection="1">
      <alignment horizontal="center" vertical="center" wrapText="1"/>
    </xf>
    <xf numFmtId="2" fontId="3" fillId="0" borderId="35" xfId="2" applyNumberFormat="1" applyFont="1" applyFill="1" applyBorder="1" applyAlignment="1" applyProtection="1">
      <alignment horizontal="center" vertical="center" wrapText="1"/>
    </xf>
    <xf numFmtId="2" fontId="6" fillId="0" borderId="36" xfId="2" applyNumberFormat="1" applyFont="1" applyFill="1" applyBorder="1" applyAlignment="1" applyProtection="1">
      <alignment horizontal="center" vertical="center" wrapText="1"/>
    </xf>
    <xf numFmtId="2" fontId="6" fillId="0" borderId="34" xfId="2" applyNumberFormat="1" applyFont="1" applyFill="1" applyBorder="1" applyAlignment="1" applyProtection="1">
      <alignment horizontal="center" vertical="center" wrapText="1"/>
    </xf>
    <xf numFmtId="0" fontId="3" fillId="0" borderId="32" xfId="2" applyFont="1" applyFill="1" applyBorder="1"/>
    <xf numFmtId="0" fontId="3" fillId="0" borderId="37" xfId="2" applyFont="1" applyFill="1" applyBorder="1"/>
    <xf numFmtId="49" fontId="11" fillId="0" borderId="25" xfId="2" applyNumberFormat="1" applyFont="1" applyBorder="1" applyAlignment="1" applyProtection="1">
      <alignment horizontal="center" vertical="center" wrapText="1"/>
    </xf>
    <xf numFmtId="0" fontId="11" fillId="0" borderId="26" xfId="2" applyFont="1" applyBorder="1" applyAlignment="1" applyProtection="1">
      <alignment vertical="center" wrapText="1"/>
    </xf>
    <xf numFmtId="165" fontId="6" fillId="0" borderId="25" xfId="3" applyFont="1" applyFill="1" applyBorder="1" applyAlignment="1" applyProtection="1">
      <alignment horizontal="center" vertical="center" wrapText="1"/>
    </xf>
    <xf numFmtId="0" fontId="6" fillId="0" borderId="30" xfId="2" applyNumberFormat="1" applyFont="1" applyFill="1" applyBorder="1" applyAlignment="1" applyProtection="1">
      <alignment horizontal="center" vertical="center" wrapText="1"/>
    </xf>
    <xf numFmtId="165" fontId="6" fillId="0" borderId="28" xfId="3" applyNumberFormat="1" applyFont="1" applyFill="1" applyBorder="1" applyAlignment="1" applyProtection="1">
      <alignment horizontal="center" vertical="center" wrapText="1"/>
    </xf>
    <xf numFmtId="0" fontId="6" fillId="0" borderId="29" xfId="2" applyNumberFormat="1" applyFont="1" applyFill="1" applyBorder="1" applyAlignment="1" applyProtection="1">
      <alignment horizontal="center" vertical="center" wrapText="1"/>
    </xf>
    <xf numFmtId="0" fontId="6" fillId="0" borderId="29" xfId="2" applyFont="1" applyFill="1" applyBorder="1"/>
    <xf numFmtId="4" fontId="6" fillId="0" borderId="31" xfId="2" applyNumberFormat="1" applyFont="1" applyFill="1" applyBorder="1" applyAlignment="1" applyProtection="1">
      <alignment horizontal="center" vertical="center" wrapText="1"/>
      <protection locked="0"/>
    </xf>
    <xf numFmtId="49" fontId="20" fillId="0" borderId="32" xfId="2" applyNumberFormat="1" applyFont="1" applyBorder="1" applyAlignment="1" applyProtection="1">
      <alignment horizontal="center" vertical="center" wrapText="1"/>
    </xf>
    <xf numFmtId="0" fontId="7" fillId="0" borderId="33" xfId="2" applyFont="1" applyBorder="1" applyAlignment="1" applyProtection="1">
      <alignment vertical="center" wrapText="1"/>
    </xf>
    <xf numFmtId="2" fontId="3" fillId="0" borderId="32" xfId="2" applyNumberFormat="1" applyFont="1" applyBorder="1"/>
    <xf numFmtId="0" fontId="3" fillId="0" borderId="34" xfId="2" applyFont="1" applyBorder="1"/>
    <xf numFmtId="2" fontId="3" fillId="0" borderId="35" xfId="2" applyNumberFormat="1" applyFont="1" applyBorder="1"/>
    <xf numFmtId="2" fontId="3" fillId="0" borderId="36" xfId="2" applyNumberFormat="1" applyFont="1" applyBorder="1"/>
    <xf numFmtId="2" fontId="3" fillId="0" borderId="34" xfId="2" applyNumberFormat="1" applyFont="1" applyBorder="1"/>
    <xf numFmtId="0" fontId="3" fillId="0" borderId="36" xfId="2" applyFont="1" applyBorder="1"/>
    <xf numFmtId="0" fontId="3" fillId="0" borderId="37" xfId="2" applyFont="1" applyBorder="1"/>
    <xf numFmtId="49" fontId="13" fillId="0" borderId="0" xfId="2" applyNumberFormat="1" applyFont="1" applyBorder="1" applyAlignment="1" applyProtection="1">
      <alignment horizontal="center" vertical="center" wrapText="1"/>
    </xf>
    <xf numFmtId="0" fontId="13" fillId="0" borderId="26" xfId="2" applyFont="1" applyBorder="1" applyAlignment="1" applyProtection="1">
      <alignment vertical="center" wrapText="1"/>
    </xf>
    <xf numFmtId="4" fontId="3" fillId="0" borderId="26" xfId="2" applyNumberFormat="1" applyFont="1" applyBorder="1"/>
    <xf numFmtId="49" fontId="2" fillId="0" borderId="0" xfId="2" applyNumberFormat="1" applyFont="1" applyAlignment="1">
      <alignment horizontal="center"/>
    </xf>
    <xf numFmtId="3" fontId="3" fillId="0" borderId="10" xfId="2" applyNumberFormat="1" applyFont="1" applyBorder="1"/>
    <xf numFmtId="0" fontId="2" fillId="0" borderId="0" xfId="2" applyFont="1" applyBorder="1"/>
    <xf numFmtId="0" fontId="3" fillId="0" borderId="0" xfId="2" applyFont="1" applyBorder="1"/>
    <xf numFmtId="3" fontId="3" fillId="0" borderId="0" xfId="2" applyNumberFormat="1" applyFont="1" applyBorder="1"/>
    <xf numFmtId="49" fontId="9" fillId="0" borderId="0" xfId="2" applyNumberFormat="1" applyFont="1" applyAlignment="1">
      <alignment horizontal="center"/>
    </xf>
    <xf numFmtId="0" fontId="11" fillId="0" borderId="10" xfId="2" applyFont="1" applyBorder="1"/>
    <xf numFmtId="4" fontId="11" fillId="0" borderId="10" xfId="2" applyNumberFormat="1" applyFont="1" applyBorder="1"/>
    <xf numFmtId="0" fontId="9" fillId="0" borderId="0" xfId="2" applyFont="1"/>
    <xf numFmtId="0" fontId="7" fillId="0" borderId="0" xfId="2" applyFont="1" applyBorder="1" applyAlignment="1">
      <alignment horizontal="right"/>
    </xf>
    <xf numFmtId="2" fontId="9" fillId="0" borderId="0" xfId="2" applyNumberFormat="1" applyFont="1" applyBorder="1"/>
    <xf numFmtId="2" fontId="4" fillId="0" borderId="0" xfId="2" applyNumberFormat="1" applyFont="1" applyBorder="1"/>
    <xf numFmtId="3" fontId="9" fillId="0" borderId="0" xfId="2" applyNumberFormat="1" applyFont="1" applyBorder="1"/>
    <xf numFmtId="49" fontId="3" fillId="0" borderId="0" xfId="2" applyNumberFormat="1" applyFont="1" applyAlignment="1">
      <alignment horizontal="center"/>
    </xf>
    <xf numFmtId="0" fontId="12" fillId="0" borderId="0" xfId="2" applyFont="1" applyBorder="1" applyAlignment="1" applyProtection="1">
      <alignment horizontal="center" vertical="center" wrapText="1"/>
    </xf>
    <xf numFmtId="0" fontId="12" fillId="0" borderId="0" xfId="2" applyFont="1" applyBorder="1" applyAlignment="1" applyProtection="1">
      <alignment vertical="center" wrapText="1"/>
    </xf>
    <xf numFmtId="4" fontId="12" fillId="0" borderId="0" xfId="2" applyNumberFormat="1" applyFont="1" applyBorder="1" applyAlignment="1" applyProtection="1">
      <alignment vertical="center" wrapText="1"/>
    </xf>
    <xf numFmtId="0" fontId="5" fillId="0" borderId="0" xfId="2" applyFont="1" applyBorder="1"/>
    <xf numFmtId="4" fontId="3" fillId="0" borderId="0" xfId="2" applyNumberFormat="1" applyFont="1" applyBorder="1"/>
    <xf numFmtId="4" fontId="2" fillId="0" borderId="0" xfId="2" applyNumberFormat="1" applyFont="1" applyFill="1" applyBorder="1"/>
    <xf numFmtId="0" fontId="2" fillId="0" borderId="0" xfId="2" applyFont="1" applyFill="1" applyBorder="1"/>
    <xf numFmtId="49" fontId="21" fillId="0" borderId="0" xfId="2" applyNumberFormat="1" applyFont="1" applyAlignment="1">
      <alignment horizontal="center"/>
    </xf>
    <xf numFmtId="0" fontId="21" fillId="0" borderId="0" xfId="2" applyFont="1"/>
    <xf numFmtId="0" fontId="21" fillId="0" borderId="0" xfId="2" applyFont="1" applyFill="1"/>
    <xf numFmtId="164" fontId="22" fillId="0" borderId="0" xfId="2" applyNumberFormat="1" applyFont="1" applyFill="1"/>
    <xf numFmtId="0" fontId="23" fillId="0" borderId="0" xfId="2" applyFont="1" applyFill="1"/>
    <xf numFmtId="4" fontId="25" fillId="0" borderId="0" xfId="2" applyNumberFormat="1" applyFont="1" applyFill="1"/>
    <xf numFmtId="2" fontId="22" fillId="0" borderId="0" xfId="2" applyNumberFormat="1" applyFont="1" applyFill="1"/>
    <xf numFmtId="2" fontId="26" fillId="0" borderId="0" xfId="2" applyNumberFormat="1" applyFont="1" applyFill="1"/>
    <xf numFmtId="166" fontId="22" fillId="0" borderId="0" xfId="2" applyNumberFormat="1" applyFont="1" applyFill="1"/>
    <xf numFmtId="0" fontId="25" fillId="0" borderId="0" xfId="2" applyFont="1" applyFill="1"/>
    <xf numFmtId="2" fontId="24" fillId="0" borderId="0" xfId="2" applyNumberFormat="1" applyFont="1" applyFill="1"/>
    <xf numFmtId="2" fontId="23" fillId="0" borderId="0" xfId="2" applyNumberFormat="1" applyFont="1" applyFill="1"/>
    <xf numFmtId="164" fontId="21" fillId="0" borderId="0" xfId="2" applyNumberFormat="1" applyFont="1" applyFill="1"/>
    <xf numFmtId="2" fontId="2" fillId="0" borderId="10" xfId="2" applyNumberFormat="1" applyFont="1" applyBorder="1"/>
    <xf numFmtId="2" fontId="2" fillId="0" borderId="0" xfId="2" applyNumberFormat="1" applyFont="1" applyBorder="1"/>
    <xf numFmtId="164" fontId="2" fillId="0" borderId="0" xfId="2" applyNumberFormat="1" applyFont="1"/>
    <xf numFmtId="0" fontId="2" fillId="0" borderId="10" xfId="2" applyFont="1" applyFill="1" applyBorder="1"/>
    <xf numFmtId="3" fontId="7" fillId="0" borderId="10" xfId="2" applyNumberFormat="1" applyFont="1" applyFill="1" applyBorder="1"/>
    <xf numFmtId="0" fontId="2" fillId="4" borderId="10" xfId="2" applyFont="1" applyFill="1" applyBorder="1"/>
    <xf numFmtId="165" fontId="2" fillId="0" borderId="10" xfId="3" applyFont="1" applyBorder="1"/>
    <xf numFmtId="0" fontId="11" fillId="3" borderId="10" xfId="2" applyFont="1" applyFill="1" applyBorder="1" applyAlignment="1" applyProtection="1">
      <alignment vertical="center" wrapText="1"/>
    </xf>
    <xf numFmtId="0" fontId="4" fillId="4" borderId="10" xfId="2" applyFont="1" applyFill="1" applyBorder="1" applyAlignment="1" applyProtection="1">
      <alignment vertical="center" wrapText="1"/>
    </xf>
    <xf numFmtId="165" fontId="7" fillId="4" borderId="10" xfId="3" applyFont="1" applyFill="1" applyBorder="1"/>
    <xf numFmtId="4" fontId="7" fillId="0" borderId="10" xfId="2" applyNumberFormat="1" applyFont="1" applyBorder="1"/>
    <xf numFmtId="0" fontId="2" fillId="0" borderId="0" xfId="2" applyFont="1" applyAlignment="1">
      <alignment horizontal="right"/>
    </xf>
    <xf numFmtId="164" fontId="2" fillId="0" borderId="0" xfId="1" applyFont="1" applyFill="1"/>
    <xf numFmtId="164" fontId="13" fillId="0" borderId="12" xfId="1" applyFont="1" applyFill="1" applyBorder="1" applyAlignment="1" applyProtection="1">
      <alignment horizontal="center" vertical="center" wrapText="1"/>
    </xf>
    <xf numFmtId="164" fontId="2" fillId="2" borderId="0" xfId="2" applyNumberFormat="1" applyFont="1" applyFill="1"/>
    <xf numFmtId="165" fontId="2" fillId="0" borderId="0" xfId="2" applyNumberFormat="1" applyFont="1"/>
    <xf numFmtId="164" fontId="18" fillId="0" borderId="10" xfId="2" applyNumberFormat="1" applyFont="1" applyFill="1" applyBorder="1"/>
    <xf numFmtId="164" fontId="11" fillId="0" borderId="10" xfId="2" applyNumberFormat="1" applyFont="1" applyBorder="1"/>
    <xf numFmtId="2" fontId="19" fillId="0" borderId="10" xfId="2" applyNumberFormat="1" applyFont="1" applyFill="1" applyBorder="1" applyAlignment="1">
      <alignment horizontal="right"/>
    </xf>
    <xf numFmtId="2" fontId="4" fillId="0" borderId="10" xfId="2" applyNumberFormat="1" applyFont="1" applyBorder="1" applyAlignment="1">
      <alignment horizontal="right"/>
    </xf>
    <xf numFmtId="2" fontId="18" fillId="0" borderId="10" xfId="2" applyNumberFormat="1" applyFont="1" applyFill="1" applyBorder="1" applyAlignment="1">
      <alignment horizontal="right"/>
    </xf>
    <xf numFmtId="2" fontId="11" fillId="0" borderId="10" xfId="2" applyNumberFormat="1" applyFont="1" applyBorder="1" applyAlignment="1">
      <alignment horizontal="right"/>
    </xf>
    <xf numFmtId="2" fontId="2" fillId="0" borderId="0" xfId="2" applyNumberFormat="1" applyFont="1"/>
    <xf numFmtId="0" fontId="27" fillId="0" borderId="0" xfId="2" applyFont="1"/>
    <xf numFmtId="2" fontId="27" fillId="0" borderId="0" xfId="2" applyNumberFormat="1" applyFont="1" applyAlignment="1"/>
    <xf numFmtId="0" fontId="4" fillId="0" borderId="5" xfId="2" applyFont="1" applyBorder="1" applyAlignment="1" applyProtection="1">
      <alignment horizontal="center" vertical="center" wrapText="1"/>
    </xf>
    <xf numFmtId="0" fontId="4" fillId="0" borderId="6" xfId="2" applyFont="1" applyBorder="1" applyAlignment="1" applyProtection="1">
      <alignment horizontal="center" vertical="center" wrapText="1"/>
    </xf>
    <xf numFmtId="0" fontId="4" fillId="0" borderId="5" xfId="2" applyFont="1" applyBorder="1" applyAlignment="1" applyProtection="1">
      <alignment horizontal="center" vertical="center"/>
    </xf>
    <xf numFmtId="0" fontId="4" fillId="0" borderId="7" xfId="2" applyFont="1" applyBorder="1" applyAlignment="1" applyProtection="1">
      <alignment horizontal="center" vertical="center"/>
    </xf>
    <xf numFmtId="0" fontId="10" fillId="0" borderId="8" xfId="2" applyFont="1" applyBorder="1" applyAlignment="1" applyProtection="1">
      <alignment horizontal="center" vertical="center"/>
    </xf>
    <xf numFmtId="0" fontId="10" fillId="0" borderId="13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left" vertical="center" wrapText="1"/>
    </xf>
    <xf numFmtId="0" fontId="4" fillId="0" borderId="0" xfId="2" applyFont="1" applyAlignment="1">
      <alignment horizontal="left"/>
    </xf>
    <xf numFmtId="0" fontId="6" fillId="0" borderId="0" xfId="2" applyFont="1" applyAlignment="1" applyProtection="1">
      <alignment horizontal="center"/>
    </xf>
    <xf numFmtId="0" fontId="8" fillId="0" borderId="0" xfId="2" applyNumberFormat="1" applyFont="1" applyAlignment="1" applyProtection="1">
      <alignment horizontal="center"/>
    </xf>
    <xf numFmtId="0" fontId="9" fillId="0" borderId="0" xfId="2" applyFont="1" applyBorder="1" applyAlignment="1" applyProtection="1">
      <alignment horizontal="center" vertical="top"/>
    </xf>
    <xf numFmtId="49" fontId="2" fillId="0" borderId="3" xfId="2" applyNumberFormat="1" applyFont="1" applyBorder="1" applyAlignment="1" applyProtection="1">
      <alignment horizontal="center" vertical="center" wrapText="1"/>
    </xf>
    <xf numFmtId="49" fontId="2" fillId="0" borderId="11" xfId="2" applyNumberFormat="1" applyFont="1" applyBorder="1" applyAlignment="1" applyProtection="1">
      <alignment horizontal="center" vertical="center" wrapText="1"/>
    </xf>
    <xf numFmtId="0" fontId="4" fillId="0" borderId="4" xfId="2" applyFont="1" applyBorder="1" applyAlignment="1" applyProtection="1">
      <alignment horizontal="center" vertical="center" wrapText="1"/>
    </xf>
    <xf numFmtId="0" fontId="4" fillId="0" borderId="10" xfId="2" applyFont="1" applyBorder="1" applyAlignment="1" applyProtection="1">
      <alignment horizontal="center" vertical="center" wrapText="1"/>
    </xf>
    <xf numFmtId="0" fontId="4" fillId="0" borderId="7" xfId="2" applyFont="1" applyBorder="1" applyAlignment="1" applyProtection="1">
      <alignment horizontal="center" vertical="center" wrapText="1"/>
    </xf>
  </cellXfs>
  <cellStyles count="5">
    <cellStyle name="Обычный" xfId="0" builtinId="0"/>
    <cellStyle name="Обычный 19" xfId="4"/>
    <cellStyle name="Обычный 3 15" xfId="2"/>
    <cellStyle name="Финансовый" xfId="1" builtinId="3"/>
    <cellStyle name="Финансовый 5" xfId="3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&#1086;&#1088;&#1080;&#1075;&#1091;&#1074;&#1072;&#1085;&#1085;&#1103;%20&#1090;&#1072;&#1088;&#1080;&#1092;&#1091;%20&#1058;&#1054;&#1042;%20&#1050;&#1055;&#1055;&#1042;%2017,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%202021%20&#1058;&#1054;&#1042;%20&#1050;&#1055;&#1055;&#1042;\&#1058;&#1040;&#1056;&#1048;&#1060;%202021%20&#1058;&#1054;&#1042;%20&#1050;&#1055;&#1055;&#1042;%20%20&#1073;&#1077;&#1079;%20&#1087;&#1088;&#1080;&#1073;&#1091;&#1090;&#1082;&#1091;%20%20&#1090;&#1072;%20&#1030;&#105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8\&#1056;&#1058;_&#1056;&#1086;&#1079;&#1088;&#1072;&#1093;&#1091;&#1085;&#1086;&#1082;%20&#1090;&#1072;&#1088;&#1080;&#1092;&#1110;&#1074;%20&#1073;&#1077;&#1079;%20&#1087;&#1072;&#1088;&#1086;&#1083;&#1103;2018(&#1076;&#1083;&#1103;%20&#1079;&#1072;&#1097;&#1080;&#1090;&#1099;&#1057;&#1052;&#1056;)&#1088;&#1077;&#1085;&#1090;&#1072;&#1073;&#1077;&#1083;&#1100;&#1085;&#1086;&#1089;&#1090;&#1100;2.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аз"/>
      <sheetName val="розподіл газу"/>
      <sheetName val="стоки"/>
      <sheetName val="Виробництво"/>
      <sheetName val="Тариф ТОВ КППВ"/>
      <sheetName val="Лист1"/>
      <sheetName val="Лист6"/>
      <sheetName val="Постачання"/>
    </sheetNames>
    <sheetDataSet>
      <sheetData sheetId="0"/>
      <sheetData sheetId="1"/>
      <sheetData sheetId="2"/>
      <sheetData sheetId="3">
        <row r="12">
          <cell r="D12">
            <v>840.99264603634219</v>
          </cell>
          <cell r="H12">
            <v>4268.17</v>
          </cell>
          <cell r="J12">
            <v>1835.71</v>
          </cell>
        </row>
        <row r="13">
          <cell r="D13">
            <v>193.34798595518893</v>
          </cell>
        </row>
        <row r="14">
          <cell r="D14">
            <v>197.84432801776427</v>
          </cell>
        </row>
        <row r="17">
          <cell r="D17">
            <v>14.598766473678442</v>
          </cell>
        </row>
        <row r="18">
          <cell r="D18">
            <v>2.3359279368806734</v>
          </cell>
        </row>
        <row r="42">
          <cell r="D42">
            <v>12.587222612576758</v>
          </cell>
          <cell r="J42">
            <v>21.321286703893627</v>
          </cell>
        </row>
        <row r="46">
          <cell r="D46">
            <v>57.341791901738567</v>
          </cell>
          <cell r="J46">
            <v>97.130306095515394</v>
          </cell>
        </row>
      </sheetData>
      <sheetData sheetId="4"/>
      <sheetData sheetId="5"/>
      <sheetData sheetId="6"/>
      <sheetData sheetId="7">
        <row r="35">
          <cell r="D35">
            <v>0.25255601604965067</v>
          </cell>
          <cell r="J35">
            <v>0.25255593193495007</v>
          </cell>
        </row>
        <row r="36">
          <cell r="D36">
            <v>0</v>
          </cell>
          <cell r="F36">
            <v>0</v>
          </cell>
          <cell r="H36">
            <v>0</v>
          </cell>
          <cell r="J36">
            <v>0</v>
          </cell>
        </row>
        <row r="37">
          <cell r="D37">
            <v>0</v>
          </cell>
          <cell r="F37">
            <v>0</v>
          </cell>
          <cell r="H37">
            <v>0</v>
          </cell>
          <cell r="J37">
            <v>0</v>
          </cell>
        </row>
        <row r="38">
          <cell r="D38">
            <v>0</v>
          </cell>
          <cell r="F38">
            <v>0</v>
          </cell>
          <cell r="H38">
            <v>0</v>
          </cell>
          <cell r="J38">
            <v>0</v>
          </cell>
        </row>
        <row r="39">
          <cell r="D39">
            <v>1.1505329620039642</v>
          </cell>
          <cell r="J39">
            <v>1.1505325788147727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упне (2)"/>
      <sheetName val="ІНСТРУКЦІЯ"/>
      <sheetName val="1_Структура по елементах"/>
      <sheetName val="2_ФОП"/>
      <sheetName val="админ+опр"/>
      <sheetName val="загальна"/>
      <sheetName val="3_Розподіл пл.соб."/>
      <sheetName val="4_Структура пл.соб."/>
      <sheetName val="5_Розрахунок тарифів"/>
      <sheetName val="Д2"/>
      <sheetName val="Д3(вробн)"/>
      <sheetName val="Д4(транспорт)"/>
      <sheetName val="Д5(постачанняя)"/>
      <sheetName val="структураТАРИФА"/>
      <sheetName val="виробн"/>
      <sheetName val="Структура тарифа для СТЕ"/>
      <sheetName val="транспорт"/>
      <sheetName val="постачання"/>
      <sheetName val="Лист4"/>
      <sheetName val="Д6(тариф)"/>
      <sheetName val="Сумигаз"/>
      <sheetName val="Д7(газ)"/>
      <sheetName val="ВТП"/>
      <sheetName val="Д8(ел.ен.)"/>
      <sheetName val="Д 8.2 ее"/>
      <sheetName val="Д 10"/>
      <sheetName val="Д10(2-х ставочн)"/>
      <sheetName val="д 12"/>
      <sheetName val="Д 13_послуга"/>
      <sheetName val="Д 14_послуга"/>
      <sheetName val="Д5_послуга"/>
      <sheetName val="Д6_послугаТариф"/>
      <sheetName val="Лист1"/>
      <sheetName val="ГВП"/>
      <sheetName val="структура тарифаУСЛУГА"/>
      <sheetName val="Д7_послуга"/>
      <sheetName val="Д8_послсуга"/>
      <sheetName val="Лист6"/>
      <sheetName val="Лист5"/>
      <sheetName val="абонплата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">
          <cell r="J7">
            <v>144431.38520030046</v>
          </cell>
          <cell r="Q7">
            <v>15512.050000000001</v>
          </cell>
          <cell r="W7">
            <v>11287.128000000001</v>
          </cell>
        </row>
        <row r="8">
          <cell r="E8">
            <v>278166217.91106528</v>
          </cell>
          <cell r="G8">
            <v>71051939.026949972</v>
          </cell>
        </row>
        <row r="25">
          <cell r="E25">
            <v>3.3214973566960735</v>
          </cell>
          <cell r="F25">
            <v>3.4976828730561453</v>
          </cell>
          <cell r="G25">
            <v>3.523279373931012</v>
          </cell>
          <cell r="H25">
            <v>3.6709671281944996</v>
          </cell>
        </row>
        <row r="29">
          <cell r="E29">
            <v>0</v>
          </cell>
          <cell r="G29">
            <v>0</v>
          </cell>
          <cell r="K29">
            <v>0</v>
          </cell>
          <cell r="M29">
            <v>0</v>
          </cell>
        </row>
        <row r="33">
          <cell r="K33">
            <v>3533.3498585161174</v>
          </cell>
          <cell r="L33">
            <v>3508.5557543884111</v>
          </cell>
          <cell r="M33">
            <v>6407.7801559881445</v>
          </cell>
        </row>
      </sheetData>
      <sheetData sheetId="9" refreshError="1"/>
      <sheetData sheetId="10" refreshError="1">
        <row r="15">
          <cell r="L15">
            <v>121465.73264184367</v>
          </cell>
        </row>
        <row r="43">
          <cell r="L43">
            <v>205729.57364794498</v>
          </cell>
          <cell r="P43">
            <v>395.60065260758427</v>
          </cell>
          <cell r="AB43">
            <v>59568.711269323925</v>
          </cell>
        </row>
        <row r="55">
          <cell r="L55">
            <v>102057.46300000002</v>
          </cell>
          <cell r="P55">
            <v>130.59100000000001</v>
          </cell>
        </row>
      </sheetData>
      <sheetData sheetId="11" refreshError="1">
        <row r="36">
          <cell r="K36">
            <v>69501.13230300002</v>
          </cell>
          <cell r="O36">
            <v>126.15874146</v>
          </cell>
          <cell r="W36">
            <v>9540.8996272100012</v>
          </cell>
        </row>
      </sheetData>
      <sheetData sheetId="12" refreshError="1">
        <row r="32">
          <cell r="K32">
            <v>2935.511878147503</v>
          </cell>
          <cell r="O32">
            <v>3.7562312486560683</v>
          </cell>
          <cell r="W32">
            <v>324.65532005406857</v>
          </cell>
        </row>
      </sheetData>
      <sheetData sheetId="13" refreshError="1"/>
      <sheetData sheetId="14" refreshError="1">
        <row r="14">
          <cell r="D14">
            <v>840.99264603634219</v>
          </cell>
        </row>
        <row r="15">
          <cell r="J15">
            <v>193.34798595518893</v>
          </cell>
        </row>
        <row r="18">
          <cell r="D18">
            <v>0</v>
          </cell>
          <cell r="H18">
            <v>0</v>
          </cell>
        </row>
        <row r="21">
          <cell r="H21">
            <v>2.3359279368806734</v>
          </cell>
          <cell r="J21">
            <v>2.3359279368806734</v>
          </cell>
        </row>
        <row r="22">
          <cell r="D22">
            <v>79.301660194468639</v>
          </cell>
          <cell r="H22">
            <v>79.301660194468639</v>
          </cell>
          <cell r="J22">
            <v>79.301660194468639</v>
          </cell>
        </row>
        <row r="24">
          <cell r="D24">
            <v>17.445865233925325</v>
          </cell>
          <cell r="H24">
            <v>17.445865233925325</v>
          </cell>
          <cell r="J24">
            <v>17.445865233925325</v>
          </cell>
        </row>
        <row r="25">
          <cell r="D25">
            <v>0</v>
          </cell>
          <cell r="H25">
            <v>0</v>
          </cell>
          <cell r="J25">
            <v>0</v>
          </cell>
        </row>
        <row r="26">
          <cell r="D26">
            <v>44.583670768757983</v>
          </cell>
          <cell r="H26">
            <v>44.583670768757983</v>
          </cell>
          <cell r="J26">
            <v>44.583670768757983</v>
          </cell>
        </row>
        <row r="28">
          <cell r="D28">
            <v>22.094702206734524</v>
          </cell>
          <cell r="H28">
            <v>22.094702206734524</v>
          </cell>
          <cell r="J28">
            <v>22.094702206734524</v>
          </cell>
        </row>
        <row r="29">
          <cell r="D29">
            <v>4.8608344854815968</v>
          </cell>
          <cell r="H29">
            <v>4.8608344854815968</v>
          </cell>
          <cell r="J29">
            <v>4.8608344854815968</v>
          </cell>
        </row>
        <row r="30">
          <cell r="D30">
            <v>3.4653457720139826</v>
          </cell>
          <cell r="H30">
            <v>3.4653457720139822</v>
          </cell>
          <cell r="J30">
            <v>3.4653457720139826</v>
          </cell>
        </row>
        <row r="32">
          <cell r="D32">
            <v>9.9085301599238296</v>
          </cell>
          <cell r="J32">
            <v>9.9085301599238296</v>
          </cell>
        </row>
        <row r="33">
          <cell r="D33">
            <v>2.179876635183243</v>
          </cell>
          <cell r="J33">
            <v>2.179876635183243</v>
          </cell>
        </row>
        <row r="34">
          <cell r="D34">
            <v>0.58415766813348846</v>
          </cell>
          <cell r="J34">
            <v>0.58415766813348846</v>
          </cell>
        </row>
        <row r="41">
          <cell r="C41">
            <v>145371.6654481334</v>
          </cell>
          <cell r="E41">
            <v>37525.553852058343</v>
          </cell>
          <cell r="F41">
            <v>2419.1228014387743</v>
          </cell>
          <cell r="G41">
            <v>52176.420301463048</v>
          </cell>
          <cell r="H41">
            <v>4622.6480555073922</v>
          </cell>
          <cell r="I41">
            <v>315.91566576269105</v>
          </cell>
          <cell r="J41">
            <v>2419.1228014387748</v>
          </cell>
          <cell r="K41">
            <v>235389.55526741748</v>
          </cell>
        </row>
        <row r="46">
          <cell r="E46">
            <v>0</v>
          </cell>
          <cell r="G46">
            <v>0</v>
          </cell>
          <cell r="I46">
            <v>0</v>
          </cell>
        </row>
        <row r="47">
          <cell r="C47">
            <v>0</v>
          </cell>
          <cell r="G47">
            <v>0</v>
          </cell>
          <cell r="I47">
            <v>0</v>
          </cell>
        </row>
        <row r="51">
          <cell r="D51">
            <v>1493.8933832191633</v>
          </cell>
          <cell r="F51">
            <v>2537.1188173186101</v>
          </cell>
          <cell r="H51">
            <v>4848.1431133206042</v>
          </cell>
          <cell r="J51">
            <v>2537.1275435566813</v>
          </cell>
        </row>
      </sheetData>
      <sheetData sheetId="15" refreshError="1"/>
      <sheetData sheetId="16" refreshError="1">
        <row r="37">
          <cell r="C37">
            <v>69501.13230300002</v>
          </cell>
          <cell r="E37">
            <v>14600.872182999999</v>
          </cell>
          <cell r="F37">
            <v>941.26</v>
          </cell>
          <cell r="G37">
            <v>17263.323662160001</v>
          </cell>
          <cell r="H37">
            <v>1529.47</v>
          </cell>
          <cell r="I37">
            <v>126.15874146</v>
          </cell>
          <cell r="J37">
            <v>966.06</v>
          </cell>
        </row>
        <row r="38">
          <cell r="D38">
            <v>0</v>
          </cell>
          <cell r="F38">
            <v>0</v>
          </cell>
          <cell r="H38">
            <v>0</v>
          </cell>
          <cell r="J38">
            <v>0</v>
          </cell>
        </row>
        <row r="41">
          <cell r="E41">
            <v>0</v>
          </cell>
          <cell r="G41">
            <v>0</v>
          </cell>
          <cell r="I41">
            <v>0</v>
          </cell>
        </row>
        <row r="62">
          <cell r="D62">
            <v>681</v>
          </cell>
          <cell r="F62">
            <v>941.26</v>
          </cell>
          <cell r="H62">
            <v>1529.47</v>
          </cell>
          <cell r="J62">
            <v>966.06</v>
          </cell>
        </row>
      </sheetData>
      <sheetData sheetId="17" refreshError="1">
        <row r="13">
          <cell r="D13">
            <v>22.458036776849355</v>
          </cell>
          <cell r="H13">
            <v>22.458036776849355</v>
          </cell>
          <cell r="J13">
            <v>22.458036776849355</v>
          </cell>
        </row>
        <row r="15">
          <cell r="D15">
            <v>4.9407680909068574</v>
          </cell>
          <cell r="H15">
            <v>4.9407680909068574</v>
          </cell>
          <cell r="J15">
            <v>4.9407680909068574</v>
          </cell>
        </row>
        <row r="16">
          <cell r="D16">
            <v>0</v>
          </cell>
          <cell r="H16">
            <v>0</v>
          </cell>
          <cell r="J16">
            <v>0</v>
          </cell>
        </row>
        <row r="17">
          <cell r="D17">
            <v>0.6685406661025175</v>
          </cell>
          <cell r="H17">
            <v>0.66854066610251761</v>
          </cell>
          <cell r="J17">
            <v>0.66854066610251761</v>
          </cell>
        </row>
        <row r="19">
          <cell r="D19">
            <v>0.35683933620393476</v>
          </cell>
          <cell r="H19">
            <v>0.35683933620393482</v>
          </cell>
          <cell r="J19">
            <v>0.35683933620393482</v>
          </cell>
        </row>
        <row r="20">
          <cell r="D20">
            <v>7.8504653964865667E-2</v>
          </cell>
          <cell r="H20">
            <v>7.8504653964865667E-2</v>
          </cell>
          <cell r="J20">
            <v>7.8504653964865667E-2</v>
          </cell>
        </row>
        <row r="21">
          <cell r="D21">
            <v>5.596688624414551E-2</v>
          </cell>
          <cell r="H21">
            <v>5.596688624414551E-2</v>
          </cell>
          <cell r="J21">
            <v>5.596688624414551E-2</v>
          </cell>
        </row>
        <row r="23">
          <cell r="D23">
            <v>0.16002722322054344</v>
          </cell>
          <cell r="J23">
            <v>0.16002722322054344</v>
          </cell>
        </row>
        <row r="24">
          <cell r="D24">
            <v>3.5205989108519561E-2</v>
          </cell>
          <cell r="J24">
            <v>3.5205989108519561E-2</v>
          </cell>
        </row>
        <row r="25">
          <cell r="D25">
            <v>9.4344093468560122E-3</v>
          </cell>
          <cell r="J25">
            <v>9.4344093468560122E-3</v>
          </cell>
        </row>
        <row r="32">
          <cell r="C32">
            <v>2935.511878147503</v>
          </cell>
          <cell r="E32">
            <v>446.1781205497727</v>
          </cell>
          <cell r="F32">
            <v>28.763324031947594</v>
          </cell>
          <cell r="G32">
            <v>324.65532005406857</v>
          </cell>
          <cell r="H32">
            <v>28.763324031947594</v>
          </cell>
          <cell r="I32">
            <v>3.7562312486560683</v>
          </cell>
          <cell r="J32">
            <v>28.763324031947594</v>
          </cell>
        </row>
        <row r="36">
          <cell r="E36">
            <v>0</v>
          </cell>
          <cell r="G36">
            <v>0</v>
          </cell>
          <cell r="I36">
            <v>0</v>
          </cell>
        </row>
        <row r="41">
          <cell r="D41">
            <v>30.166413010001207</v>
          </cell>
          <cell r="F41">
            <v>30.166413007386907</v>
          </cell>
          <cell r="H41">
            <v>30.166413008882095</v>
          </cell>
          <cell r="J41">
            <v>30.166412542697316</v>
          </cell>
        </row>
        <row r="43">
          <cell r="C43">
            <v>12977.943227934431</v>
          </cell>
        </row>
        <row r="50">
          <cell r="D50">
            <v>216.03351481160715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упне (2)"/>
      <sheetName val="ІНСТРУКЦІЯ"/>
      <sheetName val="5_Розрахунок тарифів"/>
      <sheetName val="3_Розподіл пл.соб."/>
      <sheetName val="4_Структура пл.соб."/>
      <sheetName val="1_Структура по елементах"/>
      <sheetName val="2_ФОП"/>
      <sheetName val="Д2"/>
      <sheetName val="Д3"/>
      <sheetName val="Д4"/>
      <sheetName val="Д4 (1)"/>
      <sheetName val="Д5"/>
      <sheetName val="Д5 (1)"/>
      <sheetName val="Д6"/>
      <sheetName val="Д9"/>
      <sheetName val="структураТАРИФА"/>
      <sheetName val="виробн"/>
      <sheetName val="транспорт"/>
      <sheetName val="постачання"/>
      <sheetName val="Лист6"/>
      <sheetName val="Лист1"/>
      <sheetName val="свод для кульченк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A2">
            <v>298970919.48336291</v>
          </cell>
        </row>
        <row r="15">
          <cell r="AL15">
            <v>1798056</v>
          </cell>
        </row>
        <row r="16">
          <cell r="AL16">
            <v>395572.32</v>
          </cell>
        </row>
        <row r="34">
          <cell r="AM34">
            <v>711339.51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tabSelected="1" workbookViewId="0">
      <selection activeCell="B23" sqref="B23"/>
    </sheetView>
  </sheetViews>
  <sheetFormatPr defaultColWidth="9.140625" defaultRowHeight="15" x14ac:dyDescent="0.25"/>
  <cols>
    <col min="1" max="1" width="6" style="155" bestFit="1" customWidth="1"/>
    <col min="2" max="2" width="83.5703125" style="2" bestFit="1" customWidth="1"/>
    <col min="3" max="3" width="18" style="2" bestFit="1" customWidth="1"/>
    <col min="4" max="8" width="16.140625" style="2" bestFit="1" customWidth="1"/>
    <col min="9" max="9" width="15.140625" style="2" customWidth="1"/>
    <col min="10" max="10" width="13.7109375" style="2" customWidth="1"/>
    <col min="11" max="11" width="16.140625" style="2" bestFit="1" customWidth="1"/>
    <col min="12" max="16384" width="9.140625" style="2"/>
  </cols>
  <sheetData>
    <row r="1" spans="1:11" ht="18.75" customHeight="1" x14ac:dyDescent="0.3">
      <c r="A1" s="1"/>
      <c r="I1" s="221" t="s">
        <v>0</v>
      </c>
      <c r="J1" s="221"/>
      <c r="K1" s="221"/>
    </row>
    <row r="2" spans="1:11" ht="18.75" x14ac:dyDescent="0.3">
      <c r="A2" s="1"/>
      <c r="I2" s="3" t="s">
        <v>1</v>
      </c>
      <c r="J2" s="3"/>
      <c r="K2" s="4"/>
    </row>
    <row r="3" spans="1:11" ht="18.75" x14ac:dyDescent="0.3">
      <c r="A3" s="5"/>
      <c r="I3" s="3" t="s">
        <v>2</v>
      </c>
      <c r="J3" s="3"/>
      <c r="K3" s="4"/>
    </row>
    <row r="4" spans="1:11" ht="18.75" x14ac:dyDescent="0.3">
      <c r="A4" s="6"/>
      <c r="B4" s="222" t="s">
        <v>3</v>
      </c>
      <c r="C4" s="222"/>
      <c r="D4" s="222"/>
      <c r="E4" s="222"/>
      <c r="F4" s="222"/>
      <c r="G4" s="222"/>
      <c r="H4" s="222"/>
      <c r="I4" s="7"/>
      <c r="K4" s="8"/>
    </row>
    <row r="5" spans="1:11" ht="18.75" x14ac:dyDescent="0.3">
      <c r="A5" s="6"/>
      <c r="B5" s="223" t="s">
        <v>4</v>
      </c>
      <c r="C5" s="223"/>
      <c r="D5" s="223"/>
      <c r="E5" s="223"/>
      <c r="F5" s="223"/>
      <c r="G5" s="223"/>
      <c r="H5" s="223"/>
      <c r="I5" s="9"/>
      <c r="J5" s="9"/>
      <c r="K5" s="10"/>
    </row>
    <row r="6" spans="1:11" ht="15.75" x14ac:dyDescent="0.25">
      <c r="A6" s="6"/>
      <c r="B6" s="224" t="s">
        <v>5</v>
      </c>
      <c r="C6" s="224"/>
      <c r="D6" s="224"/>
      <c r="E6" s="224"/>
      <c r="F6" s="224"/>
      <c r="G6" s="224"/>
      <c r="H6" s="224"/>
      <c r="I6" s="11"/>
      <c r="J6" s="11"/>
      <c r="K6" s="12"/>
    </row>
    <row r="7" spans="1:11" ht="15.75" thickBot="1" x14ac:dyDescent="0.3">
      <c r="A7" s="6"/>
      <c r="B7" s="13"/>
      <c r="C7" s="13"/>
      <c r="D7" s="13"/>
      <c r="E7" s="14"/>
      <c r="F7" s="13"/>
      <c r="G7" s="14"/>
      <c r="H7" s="13"/>
      <c r="I7" s="11"/>
      <c r="J7" s="11"/>
      <c r="K7" s="15" t="s">
        <v>6</v>
      </c>
    </row>
    <row r="8" spans="1:11" ht="30" customHeight="1" x14ac:dyDescent="0.25">
      <c r="A8" s="225" t="s">
        <v>7</v>
      </c>
      <c r="B8" s="227" t="s">
        <v>8</v>
      </c>
      <c r="C8" s="214" t="s">
        <v>9</v>
      </c>
      <c r="D8" s="215"/>
      <c r="E8" s="229" t="s">
        <v>10</v>
      </c>
      <c r="F8" s="229"/>
      <c r="G8" s="214" t="s">
        <v>11</v>
      </c>
      <c r="H8" s="215"/>
      <c r="I8" s="216" t="s">
        <v>12</v>
      </c>
      <c r="J8" s="217"/>
      <c r="K8" s="218" t="s">
        <v>13</v>
      </c>
    </row>
    <row r="9" spans="1:11" ht="21" customHeight="1" x14ac:dyDescent="0.25">
      <c r="A9" s="226"/>
      <c r="B9" s="228"/>
      <c r="C9" s="17" t="s">
        <v>15</v>
      </c>
      <c r="D9" s="18" t="s">
        <v>16</v>
      </c>
      <c r="E9" s="19" t="s">
        <v>15</v>
      </c>
      <c r="F9" s="20" t="s">
        <v>16</v>
      </c>
      <c r="G9" s="17" t="s">
        <v>15</v>
      </c>
      <c r="H9" s="18" t="s">
        <v>16</v>
      </c>
      <c r="I9" s="17" t="s">
        <v>15</v>
      </c>
      <c r="J9" s="20" t="s">
        <v>16</v>
      </c>
      <c r="K9" s="219"/>
    </row>
    <row r="10" spans="1:11" ht="18.75" x14ac:dyDescent="0.25">
      <c r="A10" s="22">
        <v>1</v>
      </c>
      <c r="B10" s="23" t="s">
        <v>17</v>
      </c>
      <c r="C10" s="24">
        <f>C11+C19+C20+C24</f>
        <v>225884.84318304522</v>
      </c>
      <c r="D10" s="25">
        <f>D11+D19+D20+D24</f>
        <v>2213.3103894915089</v>
      </c>
      <c r="E10" s="26">
        <f t="shared" ref="E10:I10" si="0">E11+E19+E20+E24</f>
        <v>53800.443014999997</v>
      </c>
      <c r="F10" s="27">
        <f>F11+F19+F20+F24</f>
        <v>3468.3</v>
      </c>
      <c r="G10" s="24">
        <f t="shared" si="0"/>
        <v>73241.842461622189</v>
      </c>
      <c r="H10" s="25">
        <f t="shared" si="0"/>
        <v>6488.9726630085352</v>
      </c>
      <c r="I10" s="24">
        <f t="shared" si="0"/>
        <v>456.1672456668216</v>
      </c>
      <c r="J10" s="27">
        <f>J11+J19+J20+J24</f>
        <v>3493.0986489637235</v>
      </c>
      <c r="K10" s="28">
        <f t="shared" ref="K10:K31" si="1">C10+E10+G10+I10</f>
        <v>353383.29590533429</v>
      </c>
    </row>
    <row r="11" spans="1:11" ht="18.75" x14ac:dyDescent="0.25">
      <c r="A11" s="32" t="s">
        <v>18</v>
      </c>
      <c r="B11" s="33" t="s">
        <v>19</v>
      </c>
      <c r="C11" s="34">
        <f>C12+C13+C14+C15+C16+C17+C18</f>
        <v>205441.63774996711</v>
      </c>
      <c r="D11" s="35">
        <f>D12+D13+D14+D15+D16+D17+D18</f>
        <v>2012.9996544198548</v>
      </c>
      <c r="E11" s="36">
        <f t="shared" ref="E11:I11" si="2">E12+E13+E14+E15+E16+E17+E18</f>
        <v>50693.224279499998</v>
      </c>
      <c r="F11" s="37">
        <f>F12+F13+F14+F15+F16+F17+F18</f>
        <v>3267.9900000000002</v>
      </c>
      <c r="G11" s="34">
        <f t="shared" si="2"/>
        <v>70980.90955509436</v>
      </c>
      <c r="H11" s="35">
        <f>H12+H13+H14+H15+H16+H17+H18+0.002</f>
        <v>6288.6619279368815</v>
      </c>
      <c r="I11" s="34">
        <f t="shared" si="2"/>
        <v>430.00846646307923</v>
      </c>
      <c r="J11" s="37">
        <f>J12+J13+J14+J15+J16+J17+J18</f>
        <v>3292.7879138920694</v>
      </c>
      <c r="K11" s="38">
        <f t="shared" si="1"/>
        <v>327545.78005102451</v>
      </c>
    </row>
    <row r="12" spans="1:11" ht="18.75" x14ac:dyDescent="0.25">
      <c r="A12" s="39" t="s">
        <v>20</v>
      </c>
      <c r="B12" s="40" t="s">
        <v>21</v>
      </c>
      <c r="C12" s="41">
        <f>D12*$C$49/1000</f>
        <v>85829.575856126103</v>
      </c>
      <c r="D12" s="42">
        <f>[1]Виробництво!D12</f>
        <v>840.99264603634219</v>
      </c>
      <c r="E12" s="43">
        <f>F12*$E$49/1000</f>
        <v>28475.625305500002</v>
      </c>
      <c r="F12" s="44">
        <v>1835.71</v>
      </c>
      <c r="G12" s="41">
        <f>H12*G49/1000</f>
        <v>48175.381115760007</v>
      </c>
      <c r="H12" s="45">
        <f>[1]Виробництво!H12</f>
        <v>4268.17</v>
      </c>
      <c r="I12" s="41">
        <f>J12*I49/1000</f>
        <v>239.72720461</v>
      </c>
      <c r="J12" s="44">
        <f>[1]Виробництво!J12</f>
        <v>1835.71</v>
      </c>
      <c r="K12" s="46">
        <f t="shared" si="1"/>
        <v>162720.30948199611</v>
      </c>
    </row>
    <row r="13" spans="1:11" ht="18.75" x14ac:dyDescent="0.25">
      <c r="A13" s="39" t="s">
        <v>22</v>
      </c>
      <c r="B13" s="40" t="s">
        <v>23</v>
      </c>
      <c r="C13" s="47">
        <f>D13*C49/1000</f>
        <v>19732.604922746217</v>
      </c>
      <c r="D13" s="42">
        <f>[1]Виробництво!D13</f>
        <v>193.34798595518893</v>
      </c>
      <c r="E13" s="48">
        <f>F13*$E$49/1000</f>
        <v>2999.2548675000003</v>
      </c>
      <c r="F13" s="49">
        <v>193.35</v>
      </c>
      <c r="G13" s="47">
        <f>H13*G49/1000</f>
        <v>2182.3661987999999</v>
      </c>
      <c r="H13" s="50">
        <v>193.35</v>
      </c>
      <c r="I13" s="41">
        <f>J13*I49/1000</f>
        <v>25.249506833874079</v>
      </c>
      <c r="J13" s="44">
        <f>[2]виробн!J15</f>
        <v>193.34798595518893</v>
      </c>
      <c r="K13" s="46">
        <f t="shared" si="1"/>
        <v>24939.475495880091</v>
      </c>
    </row>
    <row r="14" spans="1:11" ht="18" customHeight="1" x14ac:dyDescent="0.25">
      <c r="A14" s="39" t="s">
        <v>24</v>
      </c>
      <c r="B14" s="40" t="s">
        <v>25</v>
      </c>
      <c r="C14" s="41">
        <f>D14*C49/1000</f>
        <v>0</v>
      </c>
      <c r="D14" s="42">
        <f>[2]виробн!D18</f>
        <v>0</v>
      </c>
      <c r="E14" s="43">
        <f>F14*$E$49/1000</f>
        <v>0</v>
      </c>
      <c r="F14" s="44">
        <v>0</v>
      </c>
      <c r="G14" s="47">
        <f>H14*$G$49/1000</f>
        <v>0</v>
      </c>
      <c r="H14" s="42">
        <f>[2]виробн!H18</f>
        <v>0</v>
      </c>
      <c r="I14" s="41">
        <v>0</v>
      </c>
      <c r="J14" s="44">
        <f>I14/$I$49*1000</f>
        <v>0</v>
      </c>
      <c r="K14" s="46">
        <f t="shared" si="1"/>
        <v>0</v>
      </c>
    </row>
    <row r="15" spans="1:11" ht="18.75" x14ac:dyDescent="0.25">
      <c r="A15" s="39" t="s">
        <v>26</v>
      </c>
      <c r="B15" s="40" t="s">
        <v>27</v>
      </c>
      <c r="C15" s="41">
        <f>D15*C49/1000</f>
        <v>20191.490186432842</v>
      </c>
      <c r="D15" s="45">
        <f>[1]Виробництво!D14</f>
        <v>197.84432801776427</v>
      </c>
      <c r="E15" s="43">
        <f>F15*E49/1000</f>
        <v>3068.9039720000001</v>
      </c>
      <c r="F15" s="51">
        <v>197.84</v>
      </c>
      <c r="G15" s="47">
        <f>H15*G49/1000</f>
        <v>2233.0905520319998</v>
      </c>
      <c r="H15" s="45">
        <v>197.84399999999999</v>
      </c>
      <c r="I15" s="41">
        <f>J15*I49/1000</f>
        <v>25.836645804</v>
      </c>
      <c r="J15" s="51">
        <v>197.84399999999999</v>
      </c>
      <c r="K15" s="46">
        <f t="shared" si="1"/>
        <v>25519.321356268843</v>
      </c>
    </row>
    <row r="16" spans="1:11" ht="18.75" x14ac:dyDescent="0.25">
      <c r="A16" s="39" t="s">
        <v>28</v>
      </c>
      <c r="B16" s="40" t="s">
        <v>29</v>
      </c>
      <c r="C16" s="41">
        <f>D16*C49/1000</f>
        <v>77959.654836440008</v>
      </c>
      <c r="D16" s="45">
        <v>763.88</v>
      </c>
      <c r="E16" s="43">
        <f>F16*E49/1000</f>
        <v>15886.666007500002</v>
      </c>
      <c r="F16" s="51">
        <v>1024.1500000000001</v>
      </c>
      <c r="G16" s="47">
        <f>H16*G49/1000</f>
        <v>18198.913702080001</v>
      </c>
      <c r="H16" s="45">
        <v>1612.36</v>
      </c>
      <c r="I16" s="41">
        <f>J16*I49/1000</f>
        <v>136.98342945000002</v>
      </c>
      <c r="J16" s="52">
        <v>1048.95</v>
      </c>
      <c r="K16" s="46">
        <f>C16+E16+G16+I16</f>
        <v>112182.21797547</v>
      </c>
    </row>
    <row r="17" spans="1:11" ht="18" customHeight="1" x14ac:dyDescent="0.25">
      <c r="A17" s="39" t="s">
        <v>30</v>
      </c>
      <c r="B17" s="40" t="s">
        <v>31</v>
      </c>
      <c r="C17" s="47">
        <f>D17*C49/1000</f>
        <v>1489.9130692330782</v>
      </c>
      <c r="D17" s="45">
        <f>[1]Виробництво!D17</f>
        <v>14.598766473678442</v>
      </c>
      <c r="E17" s="48">
        <f>F17*E49/1000</f>
        <v>226.47593000000003</v>
      </c>
      <c r="F17" s="53">
        <v>14.6</v>
      </c>
      <c r="G17" s="47">
        <f>H17*G49/1000</f>
        <v>164.79206880000001</v>
      </c>
      <c r="H17" s="54">
        <v>14.6</v>
      </c>
      <c r="I17" s="41">
        <f>J17*I49/1000</f>
        <v>1.9066285999999999</v>
      </c>
      <c r="J17" s="51">
        <v>14.6</v>
      </c>
      <c r="K17" s="46">
        <f t="shared" si="1"/>
        <v>1883.0876966330782</v>
      </c>
    </row>
    <row r="18" spans="1:11" ht="18.75" x14ac:dyDescent="0.25">
      <c r="A18" s="39" t="s">
        <v>32</v>
      </c>
      <c r="B18" s="40" t="s">
        <v>33</v>
      </c>
      <c r="C18" s="47">
        <f>D18*C49/1000</f>
        <v>238.3988789888657</v>
      </c>
      <c r="D18" s="42">
        <f>[1]Виробництво!D18</f>
        <v>2.3359279368806734</v>
      </c>
      <c r="E18" s="48">
        <f>F18*E49/1000</f>
        <v>36.298197000000002</v>
      </c>
      <c r="F18" s="49">
        <v>2.34</v>
      </c>
      <c r="G18" s="47">
        <f>H18*G49/1000</f>
        <v>26.365917622348082</v>
      </c>
      <c r="H18" s="50">
        <f>[2]виробн!H21</f>
        <v>2.3359279368806734</v>
      </c>
      <c r="I18" s="41">
        <f>J18*I49/1000</f>
        <v>0.30505116520518399</v>
      </c>
      <c r="J18" s="44">
        <f>[2]виробн!J21</f>
        <v>2.3359279368806734</v>
      </c>
      <c r="K18" s="46">
        <f t="shared" si="1"/>
        <v>301.36804477641897</v>
      </c>
    </row>
    <row r="19" spans="1:11" ht="18.75" x14ac:dyDescent="0.25">
      <c r="A19" s="32" t="s">
        <v>34</v>
      </c>
      <c r="B19" s="33" t="s">
        <v>35</v>
      </c>
      <c r="C19" s="34">
        <f>D19*C49/1000</f>
        <v>10385.336508541501</v>
      </c>
      <c r="D19" s="35">
        <f>[2]виробн!D22+[2]постачання!D13</f>
        <v>101.75969697131799</v>
      </c>
      <c r="E19" s="36">
        <f>F19*E49/1000</f>
        <v>1578.506208</v>
      </c>
      <c r="F19" s="37">
        <v>101.76</v>
      </c>
      <c r="G19" s="34">
        <f>H19*G49/1000</f>
        <v>1148.5747249564788</v>
      </c>
      <c r="H19" s="35">
        <f>[2]виробн!H22+[2]постачання!H13</f>
        <v>101.75969697131799</v>
      </c>
      <c r="I19" s="34">
        <f>J19*I49/1000</f>
        <v>13.28890058718139</v>
      </c>
      <c r="J19" s="37">
        <f>[2]виробн!J22+[2]постачання!J13</f>
        <v>101.75969697131799</v>
      </c>
      <c r="K19" s="38">
        <f t="shared" si="1"/>
        <v>13125.706342085163</v>
      </c>
    </row>
    <row r="20" spans="1:11" ht="18.75" x14ac:dyDescent="0.25">
      <c r="A20" s="32" t="s">
        <v>36</v>
      </c>
      <c r="B20" s="33" t="s">
        <v>37</v>
      </c>
      <c r="C20" s="34">
        <f>C21+C22+C23</f>
        <v>6903.0488964250808</v>
      </c>
      <c r="D20" s="35">
        <f t="shared" ref="D20:J20" si="3">D21+D22+D23</f>
        <v>67.638844759692688</v>
      </c>
      <c r="E20" s="36">
        <f t="shared" si="3"/>
        <v>1049.2350620000002</v>
      </c>
      <c r="F20" s="37">
        <v>67.64</v>
      </c>
      <c r="G20" s="34">
        <f t="shared" si="3"/>
        <v>763.44829857478055</v>
      </c>
      <c r="H20" s="35">
        <f t="shared" si="3"/>
        <v>67.638844759692688</v>
      </c>
      <c r="I20" s="34">
        <f t="shared" si="3"/>
        <v>8.8330243760130269</v>
      </c>
      <c r="J20" s="37">
        <f t="shared" si="3"/>
        <v>67.638844759692688</v>
      </c>
      <c r="K20" s="38">
        <f t="shared" si="1"/>
        <v>8724.5652813758752</v>
      </c>
    </row>
    <row r="21" spans="1:11" ht="18.75" x14ac:dyDescent="0.25">
      <c r="A21" s="39" t="s">
        <v>38</v>
      </c>
      <c r="B21" s="40" t="s">
        <v>39</v>
      </c>
      <c r="C21" s="47">
        <f>D21*C49/1000</f>
        <v>2284.7230022436279</v>
      </c>
      <c r="D21" s="50">
        <f>[2]виробн!D24+[2]постачання!D15</f>
        <v>22.386633324832182</v>
      </c>
      <c r="E21" s="48">
        <f>F21*E49/1000</f>
        <v>347.31479950000005</v>
      </c>
      <c r="F21" s="49">
        <v>22.39</v>
      </c>
      <c r="G21" s="47">
        <f>H21*G49/1000</f>
        <v>252.68079582644643</v>
      </c>
      <c r="H21" s="50">
        <f>[2]виробн!H24+[2]постачання!H15</f>
        <v>22.386633324832182</v>
      </c>
      <c r="I21" s="41">
        <f>J21*I49/1000</f>
        <v>2.9234928325231597</v>
      </c>
      <c r="J21" s="49">
        <f>[2]виробн!J24+[2]постачання!J15</f>
        <v>22.386633324832182</v>
      </c>
      <c r="K21" s="55">
        <f t="shared" si="1"/>
        <v>2887.6420904025972</v>
      </c>
    </row>
    <row r="22" spans="1:11" ht="18.75" x14ac:dyDescent="0.25">
      <c r="A22" s="39" t="s">
        <v>40</v>
      </c>
      <c r="B22" s="40" t="s">
        <v>41</v>
      </c>
      <c r="C22" s="47">
        <f>D22*C49/1000</f>
        <v>0</v>
      </c>
      <c r="D22" s="50">
        <f>[2]виробн!D25+[2]постачання!D16</f>
        <v>0</v>
      </c>
      <c r="E22" s="48">
        <f>F22*E49/1000</f>
        <v>0</v>
      </c>
      <c r="F22" s="49">
        <v>0</v>
      </c>
      <c r="G22" s="47">
        <f>H22*G49/1000</f>
        <v>0</v>
      </c>
      <c r="H22" s="50">
        <f>[2]виробн!H25+[2]постачання!H16</f>
        <v>0</v>
      </c>
      <c r="I22" s="41">
        <f>J22*I49/1000</f>
        <v>0</v>
      </c>
      <c r="J22" s="49">
        <f>[2]виробн!J25+[2]постачання!J16</f>
        <v>0</v>
      </c>
      <c r="K22" s="55">
        <f t="shared" si="1"/>
        <v>0</v>
      </c>
    </row>
    <row r="23" spans="1:11" ht="18.75" x14ac:dyDescent="0.25">
      <c r="A23" s="39" t="s">
        <v>42</v>
      </c>
      <c r="B23" s="40" t="s">
        <v>43</v>
      </c>
      <c r="C23" s="47">
        <f>D23*C49/1000</f>
        <v>4618.3258941814529</v>
      </c>
      <c r="D23" s="50">
        <f>[2]виробн!D26+[2]постачання!D17</f>
        <v>45.252211434860499</v>
      </c>
      <c r="E23" s="48">
        <f>F23*E49/1000</f>
        <v>701.92026250000004</v>
      </c>
      <c r="F23" s="49">
        <v>45.25</v>
      </c>
      <c r="G23" s="47">
        <f>H23*G49/1000</f>
        <v>510.76750274833415</v>
      </c>
      <c r="H23" s="50">
        <f>[2]виробн!H26+[2]постачання!H17</f>
        <v>45.252211434860499</v>
      </c>
      <c r="I23" s="41">
        <f>J23*I49/1000</f>
        <v>5.9095315434898676</v>
      </c>
      <c r="J23" s="49">
        <f>[2]виробн!J26+[2]постачання!J17</f>
        <v>45.252211434860499</v>
      </c>
      <c r="K23" s="55">
        <f t="shared" si="1"/>
        <v>5836.9231909732762</v>
      </c>
    </row>
    <row r="24" spans="1:11" ht="18.75" x14ac:dyDescent="0.25">
      <c r="A24" s="22" t="s">
        <v>44</v>
      </c>
      <c r="B24" s="23" t="s">
        <v>45</v>
      </c>
      <c r="C24" s="56">
        <f t="shared" ref="C24:J24" si="4">C25+C26+C27</f>
        <v>3154.8200281115246</v>
      </c>
      <c r="D24" s="25">
        <f t="shared" si="4"/>
        <v>30.91219334064305</v>
      </c>
      <c r="E24" s="57">
        <f t="shared" si="4"/>
        <v>479.47746549999999</v>
      </c>
      <c r="F24" s="27">
        <v>30.91</v>
      </c>
      <c r="G24" s="56">
        <f t="shared" si="4"/>
        <v>348.90988299658568</v>
      </c>
      <c r="H24" s="25">
        <f t="shared" si="4"/>
        <v>30.91219334064305</v>
      </c>
      <c r="I24" s="56">
        <f t="shared" si="4"/>
        <v>4.0368542405479166</v>
      </c>
      <c r="J24" s="27">
        <f t="shared" si="4"/>
        <v>30.91219334064305</v>
      </c>
      <c r="K24" s="28">
        <f t="shared" si="1"/>
        <v>3987.2442308486584</v>
      </c>
    </row>
    <row r="25" spans="1:11" ht="18.75" x14ac:dyDescent="0.25">
      <c r="A25" s="39" t="s">
        <v>46</v>
      </c>
      <c r="B25" s="40" t="s">
        <v>47</v>
      </c>
      <c r="C25" s="47">
        <f>D25*$C$49/1000</f>
        <v>2291.347370311405</v>
      </c>
      <c r="D25" s="50">
        <f>[2]виробн!D28+[2]постачання!D19</f>
        <v>22.451541542938457</v>
      </c>
      <c r="E25" s="48">
        <f>F25*E49/1000</f>
        <v>348.24552249999999</v>
      </c>
      <c r="F25" s="49">
        <v>22.45</v>
      </c>
      <c r="G25" s="47">
        <f>H25*G49/1000</f>
        <v>253.41342319246388</v>
      </c>
      <c r="H25" s="50">
        <f>[2]виробн!H28+[2]постачання!H19</f>
        <v>22.451541542938457</v>
      </c>
      <c r="I25" s="47">
        <f>J25*I49/1000</f>
        <v>2.9319692616338759</v>
      </c>
      <c r="J25" s="49">
        <f>[2]виробн!J28+[2]постачання!J19</f>
        <v>22.451541542938457</v>
      </c>
      <c r="K25" s="55">
        <f t="shared" si="1"/>
        <v>2895.9382852655031</v>
      </c>
    </row>
    <row r="26" spans="1:11" ht="18.75" x14ac:dyDescent="0.25">
      <c r="A26" s="39" t="s">
        <v>48</v>
      </c>
      <c r="B26" s="40" t="s">
        <v>49</v>
      </c>
      <c r="C26" s="47">
        <f>D26*$C$49/1000</f>
        <v>504.09642146850928</v>
      </c>
      <c r="D26" s="50">
        <f>[2]виробн!D29+[2]постачання!D20</f>
        <v>4.9393391394464627</v>
      </c>
      <c r="E26" s="48">
        <f>F26*E49/1000</f>
        <v>76.62952700000001</v>
      </c>
      <c r="F26" s="49">
        <v>4.9400000000000004</v>
      </c>
      <c r="G26" s="47">
        <f>H26*G49/1000</f>
        <v>55.750953102342081</v>
      </c>
      <c r="H26" s="50">
        <f>[2]виробн!H29+[2]постачання!H20</f>
        <v>4.9393391394464627</v>
      </c>
      <c r="I26" s="47">
        <f>J26*I49/1000</f>
        <v>0.64503323755945308</v>
      </c>
      <c r="J26" s="49">
        <f>[2]виробн!J29+[2]постачання!J20</f>
        <v>4.9393391394464627</v>
      </c>
      <c r="K26" s="55">
        <f t="shared" si="1"/>
        <v>637.12193480841086</v>
      </c>
    </row>
    <row r="27" spans="1:11" ht="18.75" x14ac:dyDescent="0.25">
      <c r="A27" s="39" t="s">
        <v>50</v>
      </c>
      <c r="B27" s="40" t="s">
        <v>51</v>
      </c>
      <c r="C27" s="47">
        <f>D27*$C$49/1000</f>
        <v>359.37623633161058</v>
      </c>
      <c r="D27" s="50">
        <f>[2]виробн!D30+[2]постачання!D21</f>
        <v>3.521312658258128</v>
      </c>
      <c r="E27" s="48">
        <f>F27*E49/1000</f>
        <v>54.602416000000005</v>
      </c>
      <c r="F27" s="49">
        <v>3.52</v>
      </c>
      <c r="G27" s="47">
        <f>H27*G49/1000</f>
        <v>39.745506701779746</v>
      </c>
      <c r="H27" s="50">
        <f>[2]виробн!H30+[2]постачання!H21</f>
        <v>3.5213126582581276</v>
      </c>
      <c r="I27" s="47">
        <f>J27*I49/1000</f>
        <v>0.45985174135458723</v>
      </c>
      <c r="J27" s="49">
        <f>[2]виробн!J30+[2]постачання!J21</f>
        <v>3.521312658258128</v>
      </c>
      <c r="K27" s="55">
        <f t="shared" si="1"/>
        <v>454.18401077474493</v>
      </c>
    </row>
    <row r="28" spans="1:11" ht="18.75" x14ac:dyDescent="0.25">
      <c r="A28" s="22">
        <v>2</v>
      </c>
      <c r="B28" s="23" t="s">
        <v>52</v>
      </c>
      <c r="C28" s="56">
        <f t="shared" ref="C28:J28" si="5">C29+C30+C31</f>
        <v>1314.2176370487766</v>
      </c>
      <c r="D28" s="25">
        <f t="shared" si="5"/>
        <v>12.87723208491648</v>
      </c>
      <c r="E28" s="57">
        <f t="shared" si="5"/>
        <v>199.79520400000001</v>
      </c>
      <c r="F28" s="27">
        <f t="shared" si="5"/>
        <v>12.88</v>
      </c>
      <c r="G28" s="56">
        <f t="shared" si="5"/>
        <v>145.37820864000003</v>
      </c>
      <c r="H28" s="25">
        <f t="shared" si="5"/>
        <v>12.88</v>
      </c>
      <c r="I28" s="56">
        <f t="shared" si="5"/>
        <v>1.681650615201328</v>
      </c>
      <c r="J28" s="27">
        <f t="shared" si="5"/>
        <v>12.87723208491648</v>
      </c>
      <c r="K28" s="28">
        <f t="shared" si="1"/>
        <v>1661.0727003039779</v>
      </c>
    </row>
    <row r="29" spans="1:11" ht="18.75" x14ac:dyDescent="0.25">
      <c r="A29" s="39" t="s">
        <v>53</v>
      </c>
      <c r="B29" s="40" t="s">
        <v>47</v>
      </c>
      <c r="C29" s="47">
        <f>D29*$C$49/1000</f>
        <v>1027.5714225936338</v>
      </c>
      <c r="D29" s="50">
        <f>[2]виробн!D32+[2]постачання!D23</f>
        <v>10.068557383144373</v>
      </c>
      <c r="E29" s="48">
        <f>F29*E49/1000</f>
        <v>156.20634350000003</v>
      </c>
      <c r="F29" s="49">
        <v>10.07</v>
      </c>
      <c r="G29" s="47">
        <f>H29*G49/1000</f>
        <v>113.66137896000002</v>
      </c>
      <c r="H29" s="50">
        <v>10.07</v>
      </c>
      <c r="I29" s="59">
        <f>J29*I49/1000</f>
        <v>1.3148629772222069</v>
      </c>
      <c r="J29" s="49">
        <f>[2]виробн!J32+[2]постачання!J23</f>
        <v>10.068557383144373</v>
      </c>
      <c r="K29" s="55">
        <f t="shared" si="1"/>
        <v>1298.7540080308561</v>
      </c>
    </row>
    <row r="30" spans="1:11" ht="18.75" x14ac:dyDescent="0.25">
      <c r="A30" s="39" t="s">
        <v>54</v>
      </c>
      <c r="B30" s="40" t="s">
        <v>55</v>
      </c>
      <c r="C30" s="47">
        <f>D30*$C$49/1000</f>
        <v>226.06571297059949</v>
      </c>
      <c r="D30" s="50">
        <f>[2]виробн!D33+[2]постачання!D24</f>
        <v>2.2150826242917625</v>
      </c>
      <c r="E30" s="48">
        <f>F30*E49/1000</f>
        <v>34.436751000000001</v>
      </c>
      <c r="F30" s="49">
        <v>2.2200000000000002</v>
      </c>
      <c r="G30" s="47">
        <f>H30*G49/1000</f>
        <v>25.057424160000004</v>
      </c>
      <c r="H30" s="50">
        <v>2.2200000000000002</v>
      </c>
      <c r="I30" s="59">
        <f>J30*I49/1000</f>
        <v>0.28926985498888558</v>
      </c>
      <c r="J30" s="49">
        <f>[2]виробн!J33+[2]постачання!J24</f>
        <v>2.2150826242917625</v>
      </c>
      <c r="K30" s="55">
        <f t="shared" si="1"/>
        <v>285.84915798558836</v>
      </c>
    </row>
    <row r="31" spans="1:11" ht="18.75" x14ac:dyDescent="0.25">
      <c r="A31" s="39" t="s">
        <v>56</v>
      </c>
      <c r="B31" s="40" t="s">
        <v>51</v>
      </c>
      <c r="C31" s="47">
        <f>D31*$C$49/1000</f>
        <v>60.580501484543397</v>
      </c>
      <c r="D31" s="50">
        <f>[2]виробн!D34+[2]постачання!D25</f>
        <v>0.59359207748034448</v>
      </c>
      <c r="E31" s="48">
        <f>F31*E49/1000</f>
        <v>9.1521094999999999</v>
      </c>
      <c r="F31" s="49">
        <v>0.59</v>
      </c>
      <c r="G31" s="47">
        <f>H31*G49/1000</f>
        <v>6.65940552</v>
      </c>
      <c r="H31" s="50">
        <v>0.59</v>
      </c>
      <c r="I31" s="59">
        <f>J31*I49/1000</f>
        <v>7.7517782990235679E-2</v>
      </c>
      <c r="J31" s="49">
        <f>[2]виробн!J34+[2]постачання!J25</f>
        <v>0.59359207748034448</v>
      </c>
      <c r="K31" s="55">
        <f t="shared" si="1"/>
        <v>76.469534287533634</v>
      </c>
    </row>
    <row r="32" spans="1:11" ht="18.75" x14ac:dyDescent="0.25">
      <c r="A32" s="60" t="s">
        <v>57</v>
      </c>
      <c r="B32" s="61" t="s">
        <v>58</v>
      </c>
      <c r="C32" s="47"/>
      <c r="D32" s="62"/>
      <c r="E32" s="48"/>
      <c r="F32" s="63"/>
      <c r="G32" s="47"/>
      <c r="H32" s="62"/>
      <c r="I32" s="59"/>
      <c r="J32" s="49"/>
      <c r="K32" s="55"/>
    </row>
    <row r="33" spans="1:11" ht="18.75" x14ac:dyDescent="0.25">
      <c r="A33" s="64" t="s">
        <v>59</v>
      </c>
      <c r="B33" s="65" t="s">
        <v>47</v>
      </c>
      <c r="C33" s="47"/>
      <c r="D33" s="62"/>
      <c r="E33" s="48"/>
      <c r="F33" s="63"/>
      <c r="G33" s="47"/>
      <c r="H33" s="62"/>
      <c r="I33" s="59"/>
      <c r="J33" s="49"/>
      <c r="K33" s="55"/>
    </row>
    <row r="34" spans="1:11" ht="18.75" x14ac:dyDescent="0.25">
      <c r="A34" s="64" t="s">
        <v>60</v>
      </c>
      <c r="B34" s="65" t="s">
        <v>55</v>
      </c>
      <c r="C34" s="47"/>
      <c r="D34" s="62"/>
      <c r="E34" s="48"/>
      <c r="F34" s="63"/>
      <c r="G34" s="47"/>
      <c r="H34" s="62"/>
      <c r="I34" s="59"/>
      <c r="J34" s="49"/>
      <c r="K34" s="55"/>
    </row>
    <row r="35" spans="1:11" ht="18.75" x14ac:dyDescent="0.25">
      <c r="A35" s="64" t="s">
        <v>61</v>
      </c>
      <c r="B35" s="65" t="s">
        <v>51</v>
      </c>
      <c r="C35" s="47"/>
      <c r="D35" s="62"/>
      <c r="E35" s="48"/>
      <c r="F35" s="63"/>
      <c r="G35" s="47"/>
      <c r="H35" s="62"/>
      <c r="I35" s="59"/>
      <c r="J35" s="49"/>
      <c r="K35" s="55"/>
    </row>
    <row r="36" spans="1:11" ht="18.75" x14ac:dyDescent="0.25">
      <c r="A36" s="60" t="s">
        <v>62</v>
      </c>
      <c r="B36" s="61" t="s">
        <v>63</v>
      </c>
      <c r="C36" s="47"/>
      <c r="D36" s="62"/>
      <c r="E36" s="48"/>
      <c r="F36" s="63"/>
      <c r="G36" s="47"/>
      <c r="H36" s="62"/>
      <c r="I36" s="59"/>
      <c r="J36" s="49"/>
      <c r="K36" s="55"/>
    </row>
    <row r="37" spans="1:11" ht="18.75" x14ac:dyDescent="0.25">
      <c r="A37" s="60" t="s">
        <v>64</v>
      </c>
      <c r="B37" s="61" t="s">
        <v>65</v>
      </c>
      <c r="C37" s="47"/>
      <c r="D37" s="62"/>
      <c r="E37" s="48"/>
      <c r="F37" s="63"/>
      <c r="G37" s="47"/>
      <c r="H37" s="62"/>
      <c r="I37" s="59"/>
      <c r="J37" s="49"/>
      <c r="K37" s="55"/>
    </row>
    <row r="38" spans="1:11" s="66" customFormat="1" ht="18.75" x14ac:dyDescent="0.2">
      <c r="A38" s="22" t="s">
        <v>66</v>
      </c>
      <c r="B38" s="23" t="s">
        <v>67</v>
      </c>
      <c r="C38" s="56">
        <f>C10+C28</f>
        <v>227199.06082009399</v>
      </c>
      <c r="D38" s="25">
        <f>D10+D28</f>
        <v>2226.1876215764255</v>
      </c>
      <c r="E38" s="26">
        <f>F38*E49/1000</f>
        <v>54000.238219000013</v>
      </c>
      <c r="F38" s="27">
        <f>F10+F28</f>
        <v>3481.1800000000003</v>
      </c>
      <c r="G38" s="24">
        <f>G28+G10</f>
        <v>73387.220670262192</v>
      </c>
      <c r="H38" s="25">
        <f>H10+H28</f>
        <v>6501.8526630085353</v>
      </c>
      <c r="I38" s="24">
        <f>I10+I28</f>
        <v>457.84889628202291</v>
      </c>
      <c r="J38" s="27">
        <f>J10+J28</f>
        <v>3505.9758810486401</v>
      </c>
      <c r="K38" s="28">
        <f>C38+E38+G38+I38</f>
        <v>355044.36860563821</v>
      </c>
    </row>
    <row r="39" spans="1:11" s="70" customFormat="1" ht="31.5" hidden="1" x14ac:dyDescent="0.2">
      <c r="A39" s="32" t="s">
        <v>68</v>
      </c>
      <c r="B39" s="33" t="s">
        <v>69</v>
      </c>
      <c r="C39" s="67">
        <f>D39*C49/1000</f>
        <v>0</v>
      </c>
      <c r="D39" s="68">
        <f>[2]транспорт!D38</f>
        <v>0</v>
      </c>
      <c r="E39" s="37">
        <f>F39*E49/1000</f>
        <v>0</v>
      </c>
      <c r="F39" s="68">
        <f>[2]транспорт!F38</f>
        <v>0</v>
      </c>
      <c r="G39" s="69">
        <f>H39*G49/1000</f>
        <v>0</v>
      </c>
      <c r="H39" s="68">
        <f>[2]транспорт!H38</f>
        <v>0</v>
      </c>
      <c r="I39" s="69">
        <f>J39*I49/1000</f>
        <v>0</v>
      </c>
      <c r="J39" s="68">
        <f>[2]транспорт!J38</f>
        <v>0</v>
      </c>
      <c r="K39" s="38">
        <f t="shared" ref="K39:K45" si="6">C39+E39+G39+I39</f>
        <v>0</v>
      </c>
    </row>
    <row r="40" spans="1:11" s="70" customFormat="1" ht="18.75" x14ac:dyDescent="0.2">
      <c r="A40" s="32" t="s">
        <v>68</v>
      </c>
      <c r="B40" s="33" t="s">
        <v>70</v>
      </c>
      <c r="C40" s="59">
        <f>D40*C49/1000</f>
        <v>0</v>
      </c>
      <c r="D40" s="50">
        <f>'[2]5_Розрахунок тарифів'!E29</f>
        <v>0</v>
      </c>
      <c r="E40" s="63">
        <f>F40*E49/1000</f>
        <v>0</v>
      </c>
      <c r="F40" s="50">
        <f>'[2]5_Розрахунок тарифів'!G29</f>
        <v>0</v>
      </c>
      <c r="G40" s="71">
        <f>H40*G49/1000</f>
        <v>0</v>
      </c>
      <c r="H40" s="50">
        <f>'[2]5_Розрахунок тарифів'!M29</f>
        <v>0</v>
      </c>
      <c r="I40" s="71">
        <f>J40*I49/1000</f>
        <v>0</v>
      </c>
      <c r="J40" s="49">
        <f>'[2]5_Розрахунок тарифів'!K29</f>
        <v>0</v>
      </c>
      <c r="K40" s="55">
        <f t="shared" si="6"/>
        <v>0</v>
      </c>
    </row>
    <row r="41" spans="1:11" s="66" customFormat="1" ht="15.6" customHeight="1" x14ac:dyDescent="0.2">
      <c r="A41" s="22" t="s">
        <v>71</v>
      </c>
      <c r="B41" s="23" t="s">
        <v>72</v>
      </c>
      <c r="C41" s="72">
        <f>C42+C46</f>
        <v>7279.973512884615</v>
      </c>
      <c r="D41" s="73">
        <f t="shared" ref="D41" si="7">D42+D43+D44+D45+D46</f>
        <v>71.332103492368944</v>
      </c>
      <c r="E41" s="72">
        <f>E42+E46</f>
        <v>1859.1191925000001</v>
      </c>
      <c r="F41" s="73">
        <f>F42+F43+F44+F45+F46</f>
        <v>119.85</v>
      </c>
      <c r="G41" s="72">
        <f>G42+G46</f>
        <v>2692.0928992799995</v>
      </c>
      <c r="H41" s="73">
        <f>H42+H43+H44+H45+H46+0.001</f>
        <v>238.511</v>
      </c>
      <c r="I41" s="72">
        <f>I42+I46</f>
        <v>15.651942686974943</v>
      </c>
      <c r="J41" s="74">
        <f>J42+J43+J44+J45+J46</f>
        <v>119.85468131015875</v>
      </c>
      <c r="K41" s="28">
        <v>11846.84</v>
      </c>
    </row>
    <row r="42" spans="1:11" ht="18.75" x14ac:dyDescent="0.25">
      <c r="A42" s="39" t="s">
        <v>73</v>
      </c>
      <c r="B42" s="40" t="s">
        <v>74</v>
      </c>
      <c r="C42" s="75">
        <f>D42*C49/1000</f>
        <v>1310.3952323192307</v>
      </c>
      <c r="D42" s="76">
        <f>[1]Виробництво!D42++[1]Постачання!D35</f>
        <v>12.839778628626409</v>
      </c>
      <c r="E42" s="48">
        <f>F42*E49/1000</f>
        <v>334.59491850000001</v>
      </c>
      <c r="F42" s="77">
        <v>21.57</v>
      </c>
      <c r="G42" s="75">
        <f>H42*G49/1000</f>
        <v>484.66927631999999</v>
      </c>
      <c r="H42" s="78">
        <v>42.94</v>
      </c>
      <c r="I42" s="75">
        <f>J42*I49/1000</f>
        <v>2.8173496836554901</v>
      </c>
      <c r="J42" s="49">
        <f>[1]Виробництво!J42+[1]Постачання!J35</f>
        <v>21.573842635828576</v>
      </c>
      <c r="K42" s="55">
        <f>C42+E42+G42+I42</f>
        <v>2132.4767768228858</v>
      </c>
    </row>
    <row r="43" spans="1:11" ht="18.75" x14ac:dyDescent="0.25">
      <c r="A43" s="39" t="s">
        <v>75</v>
      </c>
      <c r="B43" s="40" t="s">
        <v>76</v>
      </c>
      <c r="C43" s="75">
        <v>0</v>
      </c>
      <c r="D43" s="76">
        <f>[1]Виробництво!D43++[1]Постачання!D36</f>
        <v>0</v>
      </c>
      <c r="E43" s="48">
        <f>[2]виробн!E46+[2]транспорт!E41+[2]постачання!E36</f>
        <v>0</v>
      </c>
      <c r="F43" s="77">
        <f>[1]Виробництво!F43+[1]Постачання!F36</f>
        <v>0</v>
      </c>
      <c r="G43" s="75">
        <f>[2]виробн!G46+[2]транспорт!G41+[2]постачання!G36</f>
        <v>0</v>
      </c>
      <c r="H43" s="76">
        <f>[1]Виробництво!H43++[1]Постачання!H36</f>
        <v>0</v>
      </c>
      <c r="I43" s="75">
        <f>[2]виробн!I46+[2]транспорт!I41+[2]постачання!I36</f>
        <v>0</v>
      </c>
      <c r="J43" s="49">
        <f>[1]Виробництво!J43+[1]Постачання!J36</f>
        <v>0</v>
      </c>
      <c r="K43" s="55">
        <f t="shared" si="6"/>
        <v>0</v>
      </c>
    </row>
    <row r="44" spans="1:11" ht="18.75" hidden="1" x14ac:dyDescent="0.25">
      <c r="A44" s="39" t="s">
        <v>77</v>
      </c>
      <c r="B44" s="40" t="s">
        <v>78</v>
      </c>
      <c r="C44" s="75" t="e">
        <f>[2]виробн!C47+[2]транспорт!C42+[2]постачання!C37</f>
        <v>#REF!</v>
      </c>
      <c r="D44" s="76">
        <f>[1]Виробництво!D44++[1]Постачання!D37</f>
        <v>0</v>
      </c>
      <c r="E44" s="48" t="e">
        <f>[2]виробн!E47+[2]транспорт!E42+[2]постачання!E37</f>
        <v>#REF!</v>
      </c>
      <c r="F44" s="77">
        <f>[1]Виробництво!F44+[1]Постачання!F37</f>
        <v>0</v>
      </c>
      <c r="G44" s="75" t="e">
        <f>[2]виробн!G47+[2]транспорт!G42+[2]постачання!G37</f>
        <v>#REF!</v>
      </c>
      <c r="H44" s="76">
        <f>[1]Виробництво!H44++[1]Постачання!H37</f>
        <v>0</v>
      </c>
      <c r="I44" s="75" t="e">
        <f>[2]виробн!I47+[2]транспорт!I42+[2]постачання!I37</f>
        <v>#REF!</v>
      </c>
      <c r="J44" s="49">
        <f>[1]Виробництво!J44+[1]Постачання!J37</f>
        <v>0</v>
      </c>
      <c r="K44" s="55" t="e">
        <f t="shared" si="6"/>
        <v>#REF!</v>
      </c>
    </row>
    <row r="45" spans="1:11" ht="18.75" x14ac:dyDescent="0.25">
      <c r="A45" s="39" t="s">
        <v>77</v>
      </c>
      <c r="B45" s="40" t="s">
        <v>79</v>
      </c>
      <c r="C45" s="75">
        <v>0</v>
      </c>
      <c r="D45" s="76">
        <f>[1]Виробництво!D45++[1]Постачання!D38</f>
        <v>0</v>
      </c>
      <c r="E45" s="48">
        <v>0</v>
      </c>
      <c r="F45" s="77">
        <f>[1]Виробництво!F45+[1]Постачання!F38</f>
        <v>0</v>
      </c>
      <c r="G45" s="75">
        <v>0</v>
      </c>
      <c r="H45" s="76">
        <f>[1]Виробництво!H45++[1]Постачання!H38</f>
        <v>0</v>
      </c>
      <c r="I45" s="75">
        <v>0</v>
      </c>
      <c r="J45" s="49">
        <f>[1]Виробництво!J45+[1]Постачання!J38</f>
        <v>0</v>
      </c>
      <c r="K45" s="55">
        <f t="shared" si="6"/>
        <v>0</v>
      </c>
    </row>
    <row r="46" spans="1:11" ht="18.75" x14ac:dyDescent="0.25">
      <c r="A46" s="39" t="s">
        <v>80</v>
      </c>
      <c r="B46" s="40" t="s">
        <v>81</v>
      </c>
      <c r="C46" s="75">
        <f>D46*C49/1000</f>
        <v>5969.5782805653844</v>
      </c>
      <c r="D46" s="76">
        <f>[1]Виробництво!D46++[1]Постачання!D39</f>
        <v>58.492324863742532</v>
      </c>
      <c r="E46" s="48">
        <f>F46*E49/1000</f>
        <v>1524.5242740000001</v>
      </c>
      <c r="F46" s="77">
        <v>98.28</v>
      </c>
      <c r="G46" s="75">
        <f>H46*G49/1000</f>
        <v>2207.4236229599996</v>
      </c>
      <c r="H46" s="76">
        <v>195.57</v>
      </c>
      <c r="I46" s="75">
        <f>J46*I49/1000</f>
        <v>12.834593003319453</v>
      </c>
      <c r="J46" s="49">
        <f>[1]Виробництво!J46+[1]Постачання!J39</f>
        <v>98.28083867433017</v>
      </c>
      <c r="K46" s="55">
        <f>C46+E46+G46+I46</f>
        <v>9714.3607705287031</v>
      </c>
    </row>
    <row r="47" spans="1:11" s="66" customFormat="1" ht="18.75" x14ac:dyDescent="0.2">
      <c r="A47" s="22" t="s">
        <v>82</v>
      </c>
      <c r="B47" s="23" t="s">
        <v>83</v>
      </c>
      <c r="C47" s="24">
        <f>C38+C41+C39+C40</f>
        <v>234479.0343329786</v>
      </c>
      <c r="D47" s="79"/>
      <c r="E47" s="57">
        <f>E38+E41+E39+E40</f>
        <v>55859.357411500016</v>
      </c>
      <c r="F47" s="80"/>
      <c r="G47" s="56">
        <f>G38+G41+G39+G40</f>
        <v>76079.313569542195</v>
      </c>
      <c r="H47" s="79"/>
      <c r="I47" s="56">
        <f>I38+I41+I39+I40</f>
        <v>473.50083896899787</v>
      </c>
      <c r="J47" s="80"/>
      <c r="K47" s="28">
        <f>C47+E47+G47+I47-0.003</f>
        <v>366891.20315298979</v>
      </c>
    </row>
    <row r="48" spans="1:11" s="66" customFormat="1" ht="18.75" x14ac:dyDescent="0.3">
      <c r="A48" s="81" t="s">
        <v>84</v>
      </c>
      <c r="B48" s="82" t="s">
        <v>85</v>
      </c>
      <c r="C48" s="83"/>
      <c r="D48" s="84">
        <f>D38+D41</f>
        <v>2297.5197250687943</v>
      </c>
      <c r="E48" s="85"/>
      <c r="F48" s="86">
        <f>F38+F41</f>
        <v>3601.03</v>
      </c>
      <c r="G48" s="75"/>
      <c r="H48" s="87">
        <f>H38+H41</f>
        <v>6740.3636630085357</v>
      </c>
      <c r="I48" s="88"/>
      <c r="J48" s="86">
        <f>J38+J41</f>
        <v>3625.8305623587989</v>
      </c>
      <c r="K48" s="89"/>
    </row>
    <row r="49" spans="1:11" s="66" customFormat="1" ht="19.5" thickBot="1" x14ac:dyDescent="0.35">
      <c r="A49" s="90" t="s">
        <v>86</v>
      </c>
      <c r="B49" s="91" t="s">
        <v>87</v>
      </c>
      <c r="C49" s="92">
        <f>'[2]Д3(вробн)'!L55</f>
        <v>102057.46300000002</v>
      </c>
      <c r="D49" s="93"/>
      <c r="E49" s="94">
        <f>'[2]5_Розрахунок тарифів'!Q7</f>
        <v>15512.050000000001</v>
      </c>
      <c r="F49" s="95"/>
      <c r="G49" s="92">
        <f>'[2]5_Розрахунок тарифів'!W7</f>
        <v>11287.128000000001</v>
      </c>
      <c r="H49" s="96"/>
      <c r="I49" s="92">
        <f>'[2]Д3(вробн)'!P55</f>
        <v>130.59100000000001</v>
      </c>
      <c r="J49" s="97"/>
      <c r="K49" s="98">
        <f>C49+E49+G49+I49</f>
        <v>128987.23200000002</v>
      </c>
    </row>
    <row r="50" spans="1:11" s="70" customFormat="1" ht="18.75" hidden="1" x14ac:dyDescent="0.3">
      <c r="A50" s="99" t="s">
        <v>84</v>
      </c>
      <c r="B50" s="100" t="s">
        <v>88</v>
      </c>
      <c r="C50" s="101">
        <f>[2]постачання!C43</f>
        <v>12977.943227934431</v>
      </c>
      <c r="D50" s="102"/>
      <c r="E50" s="103"/>
      <c r="F50" s="104"/>
      <c r="G50" s="105"/>
      <c r="H50" s="106"/>
      <c r="I50" s="107"/>
      <c r="J50" s="104"/>
      <c r="K50" s="108"/>
    </row>
    <row r="51" spans="1:11" s="70" customFormat="1" ht="18.75" hidden="1" x14ac:dyDescent="0.3">
      <c r="A51" s="109" t="s">
        <v>86</v>
      </c>
      <c r="B51" s="110" t="s">
        <v>89</v>
      </c>
      <c r="C51" s="111">
        <f>C52+C53+C54+C55</f>
        <v>3337.9166845750588</v>
      </c>
      <c r="D51" s="112">
        <f>D52+D53+D54+D55</f>
        <v>257.19920529397484</v>
      </c>
      <c r="E51" s="113"/>
      <c r="F51" s="114"/>
      <c r="G51" s="115"/>
      <c r="H51" s="116"/>
      <c r="I51" s="117"/>
      <c r="J51" s="114"/>
      <c r="K51" s="118"/>
    </row>
    <row r="52" spans="1:11" s="70" customFormat="1" ht="18.75" hidden="1" x14ac:dyDescent="0.3">
      <c r="A52" s="81" t="s">
        <v>90</v>
      </c>
      <c r="B52" s="119" t="s">
        <v>74</v>
      </c>
      <c r="C52" s="83">
        <f>(C53+C54+C55)/82*100*0.18</f>
        <v>600.82500322351052</v>
      </c>
      <c r="D52" s="120">
        <f>C52/$C$50*1000</f>
        <v>46.295856952915472</v>
      </c>
      <c r="E52" s="85"/>
      <c r="F52" s="121"/>
      <c r="G52" s="75"/>
      <c r="H52" s="68"/>
      <c r="I52" s="88"/>
      <c r="J52" s="121"/>
      <c r="K52" s="89"/>
    </row>
    <row r="53" spans="1:11" s="70" customFormat="1" ht="18.75" hidden="1" x14ac:dyDescent="0.3">
      <c r="A53" s="81" t="s">
        <v>91</v>
      </c>
      <c r="B53" s="122" t="s">
        <v>78</v>
      </c>
      <c r="C53" s="83">
        <f>C43/C49*C50</f>
        <v>0</v>
      </c>
      <c r="D53" s="120">
        <f t="shared" ref="D53:D54" si="8">C53/$C$50*1000</f>
        <v>0</v>
      </c>
      <c r="E53" s="85"/>
      <c r="F53" s="121"/>
      <c r="G53" s="75"/>
      <c r="H53" s="68"/>
      <c r="I53" s="88"/>
      <c r="J53" s="121"/>
      <c r="K53" s="89"/>
    </row>
    <row r="54" spans="1:11" s="70" customFormat="1" ht="18.75" hidden="1" x14ac:dyDescent="0.3">
      <c r="A54" s="81" t="s">
        <v>92</v>
      </c>
      <c r="B54" s="123" t="s">
        <v>93</v>
      </c>
      <c r="C54" s="83">
        <f>(1977981.61/1000)+(C45/C49*C50)</f>
        <v>1977.98161</v>
      </c>
      <c r="D54" s="120">
        <f t="shared" si="8"/>
        <v>152.41102347731686</v>
      </c>
      <c r="E54" s="85"/>
      <c r="F54" s="121"/>
      <c r="G54" s="75"/>
      <c r="H54" s="68"/>
      <c r="I54" s="88"/>
      <c r="J54" s="121"/>
      <c r="K54" s="89"/>
    </row>
    <row r="55" spans="1:11" s="70" customFormat="1" ht="18.75" hidden="1" x14ac:dyDescent="0.3">
      <c r="A55" s="81" t="s">
        <v>94</v>
      </c>
      <c r="B55" s="122" t="s">
        <v>81</v>
      </c>
      <c r="C55" s="83">
        <f>C46/C49*C50</f>
        <v>759.11007135154807</v>
      </c>
      <c r="D55" s="120">
        <f>C55/$C$50*1000</f>
        <v>58.492324863742525</v>
      </c>
      <c r="E55" s="85"/>
      <c r="F55" s="121"/>
      <c r="G55" s="75"/>
      <c r="H55" s="68"/>
      <c r="I55" s="88"/>
      <c r="J55" s="121"/>
      <c r="K55" s="89"/>
    </row>
    <row r="56" spans="1:11" s="70" customFormat="1" ht="18.75" hidden="1" x14ac:dyDescent="0.3">
      <c r="A56" s="32" t="s">
        <v>95</v>
      </c>
      <c r="B56" s="33" t="s">
        <v>83</v>
      </c>
      <c r="C56" s="124">
        <f>C38+C51</f>
        <v>230536.97750466905</v>
      </c>
      <c r="D56" s="125"/>
      <c r="E56" s="85"/>
      <c r="F56" s="121"/>
      <c r="G56" s="75"/>
      <c r="H56" s="68"/>
      <c r="I56" s="88"/>
      <c r="J56" s="121"/>
      <c r="K56" s="89"/>
    </row>
    <row r="57" spans="1:11" s="66" customFormat="1" ht="17.25" hidden="1" customHeight="1" x14ac:dyDescent="0.35">
      <c r="A57" s="126" t="s">
        <v>96</v>
      </c>
      <c r="B57" s="127" t="s">
        <v>97</v>
      </c>
      <c r="C57" s="128"/>
      <c r="D57" s="129">
        <f>D38+D51</f>
        <v>2483.3868268704005</v>
      </c>
      <c r="E57" s="130"/>
      <c r="F57" s="131"/>
      <c r="G57" s="128"/>
      <c r="H57" s="132"/>
      <c r="I57" s="133"/>
      <c r="J57" s="131"/>
      <c r="K57" s="134"/>
    </row>
    <row r="58" spans="1:11" s="66" customFormat="1" ht="16.899999999999999" hidden="1" customHeight="1" x14ac:dyDescent="0.3">
      <c r="A58" s="135"/>
      <c r="B58" s="136"/>
      <c r="C58" s="137"/>
      <c r="D58" s="138"/>
      <c r="E58" s="139"/>
      <c r="F58" s="140"/>
      <c r="G58" s="137"/>
      <c r="H58" s="138"/>
      <c r="I58" s="137"/>
      <c r="J58" s="141"/>
      <c r="K58" s="142"/>
    </row>
    <row r="59" spans="1:11" ht="17.25" hidden="1" customHeight="1" x14ac:dyDescent="0.35">
      <c r="A59" s="143" t="s">
        <v>86</v>
      </c>
      <c r="B59" s="144" t="s">
        <v>98</v>
      </c>
      <c r="C59" s="145">
        <f>'[2]5_Розрахунок тарифів'!E25</f>
        <v>3.3214973566960735</v>
      </c>
      <c r="D59" s="146"/>
      <c r="E59" s="147">
        <f>'[2]5_Розрахунок тарифів'!G25</f>
        <v>3.523279373931012</v>
      </c>
      <c r="F59" s="148"/>
      <c r="G59" s="145">
        <f>'[2]5_Розрахунок тарифів'!H25</f>
        <v>3.6709671281944996</v>
      </c>
      <c r="H59" s="149"/>
      <c r="I59" s="145">
        <f>'[2]5_Розрахунок тарифів'!F25</f>
        <v>3.4976828730561453</v>
      </c>
      <c r="J59" s="150"/>
      <c r="K59" s="151"/>
    </row>
    <row r="60" spans="1:11" ht="18.75" hidden="1" x14ac:dyDescent="0.3">
      <c r="A60" s="152"/>
      <c r="B60" s="153" t="s">
        <v>99</v>
      </c>
      <c r="C60" s="154">
        <f>C19+C25+C29+C21+C26+C30</f>
        <v>16719.140438129274</v>
      </c>
      <c r="D60" s="154"/>
      <c r="E60" s="154">
        <f>E19+E25+E29+E21+E26+E30</f>
        <v>2541.3391515000003</v>
      </c>
      <c r="F60" s="154"/>
      <c r="G60" s="154">
        <f>G19+G25+G29+G21+G26+G30</f>
        <v>1849.1387001977312</v>
      </c>
      <c r="H60" s="154"/>
      <c r="I60" s="154">
        <f>I19+I25+I29+I21+I26+I30</f>
        <v>21.39352875110897</v>
      </c>
      <c r="J60" s="154"/>
      <c r="K60" s="154">
        <f>K19+K25+K29+K21+K26+K30</f>
        <v>21131.011818578121</v>
      </c>
    </row>
    <row r="61" spans="1:11" ht="18.75" hidden="1" x14ac:dyDescent="0.3">
      <c r="B61" s="16" t="s">
        <v>100</v>
      </c>
      <c r="C61" s="31"/>
      <c r="D61" s="31"/>
      <c r="E61" s="31"/>
      <c r="F61" s="31"/>
      <c r="G61" s="31"/>
      <c r="H61" s="31"/>
      <c r="I61" s="31"/>
      <c r="J61" s="31"/>
      <c r="K61" s="156">
        <f>('[3]1_Структура по елементах'!AL15+'[3]1_Структура по елементах'!AL16+'[3]1_Структура по елементах'!AM34)/1000</f>
        <v>2904.96783</v>
      </c>
    </row>
    <row r="62" spans="1:11" ht="18.75" hidden="1" x14ac:dyDescent="0.3">
      <c r="B62" s="16" t="s">
        <v>101</v>
      </c>
      <c r="C62" s="31"/>
      <c r="D62" s="31"/>
      <c r="E62" s="31"/>
      <c r="F62" s="31"/>
      <c r="G62" s="31"/>
      <c r="H62" s="31"/>
      <c r="I62" s="31"/>
      <c r="J62" s="31"/>
      <c r="K62" s="156">
        <f>K60+K61</f>
        <v>24035.979648578123</v>
      </c>
    </row>
    <row r="63" spans="1:11" ht="18.75" hidden="1" x14ac:dyDescent="0.3">
      <c r="B63" s="157"/>
      <c r="C63" s="158"/>
      <c r="D63" s="158"/>
      <c r="E63" s="158"/>
      <c r="F63" s="158"/>
      <c r="G63" s="158"/>
      <c r="H63" s="158"/>
      <c r="I63" s="158"/>
      <c r="J63" s="158"/>
      <c r="K63" s="159"/>
    </row>
    <row r="64" spans="1:11" ht="11.25" customHeight="1" x14ac:dyDescent="0.3">
      <c r="B64" s="157"/>
      <c r="C64" s="158"/>
      <c r="D64" s="158"/>
      <c r="E64" s="158"/>
      <c r="F64" s="158"/>
      <c r="G64" s="158"/>
      <c r="H64" s="158"/>
      <c r="I64" s="158"/>
      <c r="J64" s="158"/>
      <c r="K64" s="159"/>
    </row>
    <row r="65" spans="1:11" s="163" customFormat="1" ht="15.75" hidden="1" x14ac:dyDescent="0.25">
      <c r="A65" s="160"/>
      <c r="B65" s="161" t="s">
        <v>83</v>
      </c>
      <c r="C65" s="162">
        <v>215988.46380524419</v>
      </c>
      <c r="D65" s="162">
        <v>1667.9934008281539</v>
      </c>
      <c r="E65" s="162">
        <v>36318.551338250385</v>
      </c>
      <c r="F65" s="162">
        <v>1662.0462655003498</v>
      </c>
      <c r="G65" s="162">
        <v>38452.322892646022</v>
      </c>
      <c r="H65" s="162">
        <v>1639.4913224833003</v>
      </c>
      <c r="I65" s="162">
        <v>242.1511787072736</v>
      </c>
      <c r="J65" s="162">
        <v>1642.6160896720453</v>
      </c>
      <c r="K65" s="162">
        <v>291001.48921484785</v>
      </c>
    </row>
    <row r="66" spans="1:11" s="163" customFormat="1" ht="15.75" hidden="1" x14ac:dyDescent="0.25">
      <c r="A66" s="160"/>
      <c r="B66" s="164" t="s">
        <v>14</v>
      </c>
      <c r="C66" s="165"/>
      <c r="D66" s="166">
        <f>100-(D47/D65*100)</f>
        <v>100</v>
      </c>
      <c r="E66" s="166"/>
      <c r="F66" s="166">
        <f>100-(F47/F65*100)</f>
        <v>100</v>
      </c>
      <c r="G66" s="166"/>
      <c r="H66" s="166">
        <f>100-(H47/H65*100)</f>
        <v>100</v>
      </c>
      <c r="I66" s="166"/>
      <c r="J66" s="166">
        <f>100-(J47/J65*100)</f>
        <v>100</v>
      </c>
      <c r="K66" s="167"/>
    </row>
    <row r="67" spans="1:11" s="163" customFormat="1" ht="15.75" x14ac:dyDescent="0.25">
      <c r="A67" s="160"/>
      <c r="B67" s="164"/>
      <c r="C67" s="165"/>
      <c r="D67" s="166"/>
      <c r="E67" s="165"/>
      <c r="F67" s="165"/>
      <c r="G67" s="165"/>
      <c r="H67" s="166"/>
      <c r="I67" s="165"/>
      <c r="J67" s="166"/>
      <c r="K67" s="167"/>
    </row>
    <row r="68" spans="1:11" s="30" customFormat="1" ht="18.75" hidden="1" customHeight="1" x14ac:dyDescent="0.3">
      <c r="A68" s="168"/>
      <c r="B68" s="169" t="s">
        <v>102</v>
      </c>
      <c r="C68" s="170"/>
      <c r="D68" s="171"/>
      <c r="E68" s="170"/>
      <c r="F68" s="220" t="s">
        <v>103</v>
      </c>
      <c r="G68" s="220"/>
      <c r="I68" s="172"/>
      <c r="J68" s="158"/>
      <c r="K68" s="173"/>
    </row>
    <row r="69" spans="1:11" hidden="1" x14ac:dyDescent="0.25">
      <c r="B69" s="157"/>
      <c r="C69" s="174"/>
      <c r="D69" s="175"/>
      <c r="E69" s="174"/>
      <c r="F69" s="175"/>
      <c r="G69" s="174"/>
      <c r="H69" s="175"/>
      <c r="I69" s="174"/>
      <c r="J69" s="175"/>
      <c r="K69" s="174"/>
    </row>
    <row r="70" spans="1:11" s="177" customFormat="1" ht="15.75" hidden="1" customHeight="1" x14ac:dyDescent="0.3">
      <c r="A70" s="176"/>
      <c r="C70" s="178"/>
      <c r="D70" s="179"/>
      <c r="E70" s="180"/>
      <c r="F70" s="179">
        <f>'[2]5_Розрахунок тарифів'!L33</f>
        <v>3508.5557543884111</v>
      </c>
      <c r="G70" s="180"/>
      <c r="H70" s="179">
        <f>'[2]5_Розрахунок тарифів'!M33</f>
        <v>6407.7801559881445</v>
      </c>
      <c r="I70" s="180"/>
      <c r="J70" s="179">
        <f>'[2]5_Розрахунок тарифів'!K33</f>
        <v>3533.3498585161174</v>
      </c>
      <c r="K70" s="178"/>
    </row>
    <row r="71" spans="1:11" s="177" customFormat="1" ht="15.75" hidden="1" customHeight="1" x14ac:dyDescent="0.3">
      <c r="A71" s="176"/>
      <c r="C71" s="178"/>
      <c r="D71" s="179"/>
      <c r="E71" s="180"/>
      <c r="F71" s="179" t="s">
        <v>104</v>
      </c>
      <c r="G71" s="180"/>
      <c r="H71" s="179" t="s">
        <v>105</v>
      </c>
      <c r="I71" s="180"/>
      <c r="J71" s="179" t="s">
        <v>106</v>
      </c>
      <c r="K71" s="178"/>
    </row>
    <row r="72" spans="1:11" s="177" customFormat="1" ht="15.75" hidden="1" customHeight="1" x14ac:dyDescent="0.3">
      <c r="A72" s="176"/>
      <c r="C72" s="181">
        <v>1105.21</v>
      </c>
      <c r="D72" s="182"/>
      <c r="E72" s="183">
        <v>1131.3699999999999</v>
      </c>
      <c r="F72" s="182">
        <f>[2]виробн!F51</f>
        <v>2537.1188173186101</v>
      </c>
      <c r="G72" s="183">
        <v>1130.29</v>
      </c>
      <c r="H72" s="184">
        <f>[2]виробн!H51</f>
        <v>4848.1431133206042</v>
      </c>
      <c r="I72" s="183">
        <v>1131.22</v>
      </c>
      <c r="J72" s="182">
        <f>[2]виробн!J51</f>
        <v>2537.1275435566813</v>
      </c>
      <c r="K72" s="178"/>
    </row>
    <row r="73" spans="1:11" s="177" customFormat="1" ht="15.75" hidden="1" customHeight="1" x14ac:dyDescent="0.3">
      <c r="A73" s="176"/>
      <c r="C73" s="185">
        <v>394.47</v>
      </c>
      <c r="D73" s="186"/>
      <c r="E73" s="183">
        <v>362.29</v>
      </c>
      <c r="F73" s="182">
        <f>[2]транспорт!F62</f>
        <v>941.26</v>
      </c>
      <c r="G73" s="183">
        <v>331.02</v>
      </c>
      <c r="H73" s="184">
        <f>[2]транспорт!H62</f>
        <v>1529.47</v>
      </c>
      <c r="I73" s="183">
        <v>323.7</v>
      </c>
      <c r="J73" s="182">
        <f>[2]транспорт!J62</f>
        <v>966.06</v>
      </c>
      <c r="K73" s="178"/>
    </row>
    <row r="74" spans="1:11" s="177" customFormat="1" ht="15.75" hidden="1" customHeight="1" x14ac:dyDescent="0.3">
      <c r="A74" s="176"/>
      <c r="C74" s="185">
        <v>13.84</v>
      </c>
      <c r="D74" s="186"/>
      <c r="E74" s="183">
        <v>14.17</v>
      </c>
      <c r="F74" s="182" t="e">
        <f>[2]постачання!F40</f>
        <v>#REF!</v>
      </c>
      <c r="G74" s="183">
        <v>14.17</v>
      </c>
      <c r="H74" s="184" t="e">
        <f>[2]постачання!H40</f>
        <v>#REF!</v>
      </c>
      <c r="I74" s="183">
        <v>14.17</v>
      </c>
      <c r="J74" s="182" t="e">
        <f>[2]постачання!J40</f>
        <v>#REF!</v>
      </c>
      <c r="K74" s="178"/>
    </row>
    <row r="75" spans="1:11" s="177" customFormat="1" ht="15.75" hidden="1" customHeight="1" x14ac:dyDescent="0.3">
      <c r="A75" s="176"/>
      <c r="C75" s="186">
        <f t="shared" ref="C75:J75" si="9">SUM(C72:C74)</f>
        <v>1513.52</v>
      </c>
      <c r="D75" s="187"/>
      <c r="E75" s="182">
        <f t="shared" si="9"/>
        <v>1507.83</v>
      </c>
      <c r="F75" s="187" t="e">
        <f t="shared" si="9"/>
        <v>#REF!</v>
      </c>
      <c r="G75" s="182">
        <f t="shared" si="9"/>
        <v>1475.48</v>
      </c>
      <c r="H75" s="187" t="e">
        <f t="shared" si="9"/>
        <v>#REF!</v>
      </c>
      <c r="I75" s="182">
        <f t="shared" si="9"/>
        <v>1469.0900000000001</v>
      </c>
      <c r="J75" s="187" t="e">
        <f t="shared" si="9"/>
        <v>#REF!</v>
      </c>
      <c r="K75" s="178"/>
    </row>
    <row r="76" spans="1:11" s="177" customFormat="1" ht="15.75" hidden="1" customHeight="1" x14ac:dyDescent="0.3">
      <c r="A76" s="176"/>
      <c r="C76" s="178"/>
      <c r="D76" s="188"/>
      <c r="E76" s="178"/>
      <c r="F76" s="188"/>
      <c r="G76" s="178"/>
      <c r="H76" s="188"/>
      <c r="I76" s="178"/>
      <c r="J76" s="188"/>
      <c r="K76" s="178"/>
    </row>
    <row r="77" spans="1:11" hidden="1" x14ac:dyDescent="0.25">
      <c r="B77" s="2" t="s">
        <v>107</v>
      </c>
      <c r="D77" s="16"/>
      <c r="E77" s="16"/>
      <c r="F77" s="16">
        <v>1004.39</v>
      </c>
      <c r="G77" s="16"/>
      <c r="H77" s="16">
        <v>1320.08</v>
      </c>
      <c r="I77" s="16"/>
      <c r="J77" s="16">
        <v>611.45000000000005</v>
      </c>
    </row>
    <row r="78" spans="1:11" hidden="1" x14ac:dyDescent="0.25">
      <c r="A78" s="2"/>
      <c r="B78" s="2" t="s">
        <v>108</v>
      </c>
      <c r="D78" s="189"/>
      <c r="E78" s="189"/>
      <c r="F78" s="189">
        <f>F47/F77*100-100</f>
        <v>-100</v>
      </c>
      <c r="G78" s="189"/>
      <c r="H78" s="189">
        <f>H47/H77*100-100</f>
        <v>-100</v>
      </c>
      <c r="I78" s="189"/>
      <c r="J78" s="189">
        <f>J47/J77*100-100</f>
        <v>-100</v>
      </c>
    </row>
    <row r="79" spans="1:11" hidden="1" x14ac:dyDescent="0.25">
      <c r="A79" s="2"/>
      <c r="D79" s="16"/>
      <c r="E79" s="16"/>
      <c r="F79" s="16"/>
      <c r="G79" s="16"/>
      <c r="H79" s="16"/>
      <c r="I79" s="16"/>
      <c r="J79" s="16"/>
    </row>
    <row r="80" spans="1:11" hidden="1" x14ac:dyDescent="0.25">
      <c r="A80" s="2"/>
      <c r="B80" s="2" t="s">
        <v>109</v>
      </c>
      <c r="D80" s="16"/>
      <c r="E80" s="16"/>
      <c r="F80" s="16">
        <v>1465.5</v>
      </c>
      <c r="G80" s="16"/>
      <c r="H80" s="16">
        <v>1256.52</v>
      </c>
      <c r="I80" s="16"/>
      <c r="J80" s="16">
        <v>982.26</v>
      </c>
    </row>
    <row r="81" spans="1:10" hidden="1" x14ac:dyDescent="0.25">
      <c r="A81" s="2"/>
      <c r="D81" s="189"/>
      <c r="E81" s="189"/>
      <c r="F81" s="189">
        <f>F47/F80*100-100</f>
        <v>-100</v>
      </c>
      <c r="G81" s="189"/>
      <c r="H81" s="189">
        <f>H47/H80*100-100</f>
        <v>-100</v>
      </c>
      <c r="I81" s="189"/>
      <c r="J81" s="189">
        <f>J47/J80*100-100</f>
        <v>-100</v>
      </c>
    </row>
    <row r="82" spans="1:10" hidden="1" x14ac:dyDescent="0.25">
      <c r="A82" s="2"/>
      <c r="B82" s="2" t="s">
        <v>110</v>
      </c>
      <c r="D82" s="190"/>
      <c r="E82" s="190">
        <v>1.99</v>
      </c>
      <c r="F82" s="190">
        <v>2.0299999999999998</v>
      </c>
      <c r="G82" s="190">
        <v>2.64</v>
      </c>
      <c r="H82" s="190">
        <v>2.67</v>
      </c>
      <c r="I82" s="190">
        <v>2.73</v>
      </c>
      <c r="J82" s="190">
        <v>2.88</v>
      </c>
    </row>
    <row r="83" spans="1:10" hidden="1" x14ac:dyDescent="0.25">
      <c r="A83" s="2"/>
      <c r="D83" s="190"/>
      <c r="E83" s="190"/>
      <c r="F83" s="190"/>
      <c r="G83" s="190"/>
      <c r="H83" s="190"/>
      <c r="I83" s="190"/>
      <c r="J83" s="190"/>
    </row>
    <row r="84" spans="1:10" hidden="1" x14ac:dyDescent="0.25">
      <c r="A84" s="2"/>
      <c r="C84" s="191">
        <f>C49*D47/1000</f>
        <v>0</v>
      </c>
      <c r="D84" s="191"/>
      <c r="E84" s="191">
        <f>E49*F47/1000</f>
        <v>0</v>
      </c>
      <c r="F84" s="191"/>
      <c r="G84" s="191">
        <f>G49*H47/1000</f>
        <v>0</v>
      </c>
      <c r="H84" s="191"/>
      <c r="I84" s="191">
        <f>I49*J47/1000</f>
        <v>0</v>
      </c>
      <c r="J84" s="191" t="e">
        <f>[2]виробн!J50+[2]транспорт!J62+[2]постачання!J40</f>
        <v>#REF!</v>
      </c>
    </row>
    <row r="85" spans="1:10" hidden="1" x14ac:dyDescent="0.25">
      <c r="A85" s="2"/>
    </row>
    <row r="86" spans="1:10" hidden="1" x14ac:dyDescent="0.25">
      <c r="A86" s="2"/>
    </row>
    <row r="87" spans="1:10" hidden="1" x14ac:dyDescent="0.25">
      <c r="A87" s="2"/>
      <c r="C87" s="16" t="s">
        <v>111</v>
      </c>
      <c r="D87" s="16"/>
      <c r="E87" s="16" t="s">
        <v>111</v>
      </c>
      <c r="F87" s="16"/>
      <c r="G87" s="16" t="s">
        <v>111</v>
      </c>
      <c r="H87" s="16"/>
      <c r="I87" s="16" t="s">
        <v>111</v>
      </c>
      <c r="J87" s="16"/>
    </row>
    <row r="88" spans="1:10" hidden="1" x14ac:dyDescent="0.25">
      <c r="A88" s="2"/>
      <c r="B88" s="192"/>
      <c r="C88" s="193"/>
      <c r="D88" s="193"/>
      <c r="E88" s="193"/>
      <c r="F88" s="193"/>
      <c r="G88" s="193"/>
      <c r="H88" s="193"/>
      <c r="I88" s="193"/>
      <c r="J88" s="193"/>
    </row>
    <row r="89" spans="1:10" hidden="1" x14ac:dyDescent="0.25">
      <c r="A89" s="2"/>
      <c r="B89" s="194" t="s">
        <v>112</v>
      </c>
      <c r="C89" s="195">
        <f>C22*1000</f>
        <v>0</v>
      </c>
      <c r="D89" s="195"/>
      <c r="E89" s="195">
        <f>E22*1000</f>
        <v>0</v>
      </c>
      <c r="F89" s="195"/>
      <c r="G89" s="195">
        <f>G22*1000</f>
        <v>0</v>
      </c>
      <c r="H89" s="195"/>
      <c r="I89" s="195">
        <f>I22*1000</f>
        <v>0</v>
      </c>
      <c r="J89" s="195"/>
    </row>
    <row r="90" spans="1:10" hidden="1" x14ac:dyDescent="0.25">
      <c r="A90" s="2"/>
      <c r="B90" s="16" t="s">
        <v>98</v>
      </c>
      <c r="C90" s="16"/>
      <c r="D90" s="16"/>
      <c r="E90" s="16"/>
      <c r="F90" s="16"/>
      <c r="G90" s="16"/>
      <c r="H90" s="16"/>
      <c r="I90" s="16"/>
      <c r="J90" s="16"/>
    </row>
    <row r="91" spans="1:10" ht="15.75" hidden="1" x14ac:dyDescent="0.25">
      <c r="A91" s="2"/>
      <c r="B91" s="196" t="s">
        <v>72</v>
      </c>
      <c r="C91" s="195"/>
      <c r="D91" s="195"/>
      <c r="E91" s="195"/>
      <c r="F91" s="195"/>
      <c r="G91" s="195"/>
      <c r="H91" s="195"/>
      <c r="I91" s="195"/>
      <c r="J91" s="195"/>
    </row>
    <row r="92" spans="1:10" ht="15.75" hidden="1" x14ac:dyDescent="0.25">
      <c r="A92" s="2"/>
      <c r="B92" s="40" t="s">
        <v>74</v>
      </c>
      <c r="C92" s="195"/>
      <c r="D92" s="195"/>
      <c r="E92" s="195"/>
      <c r="F92" s="195"/>
      <c r="G92" s="195"/>
      <c r="H92" s="195"/>
      <c r="I92" s="195"/>
      <c r="J92" s="195"/>
    </row>
    <row r="93" spans="1:10" ht="15.75" hidden="1" x14ac:dyDescent="0.25">
      <c r="A93" s="2"/>
      <c r="B93" s="197" t="s">
        <v>79</v>
      </c>
      <c r="C93" s="198"/>
      <c r="D93" s="198"/>
      <c r="E93" s="198"/>
      <c r="F93" s="198"/>
      <c r="G93" s="198"/>
      <c r="H93" s="198"/>
      <c r="I93" s="198"/>
      <c r="J93" s="198"/>
    </row>
    <row r="94" spans="1:10" hidden="1" x14ac:dyDescent="0.25">
      <c r="A94" s="2"/>
      <c r="B94" s="16"/>
      <c r="C94" s="16"/>
      <c r="D94" s="16"/>
      <c r="E94" s="16"/>
      <c r="F94" s="16"/>
      <c r="G94" s="16"/>
      <c r="H94" s="16"/>
      <c r="I94" s="16"/>
      <c r="J94" s="16"/>
    </row>
    <row r="95" spans="1:10" hidden="1" x14ac:dyDescent="0.25">
      <c r="A95" s="2"/>
      <c r="B95" s="16"/>
      <c r="C95" s="16"/>
      <c r="D95" s="16"/>
      <c r="E95" s="16"/>
      <c r="F95" s="16"/>
      <c r="G95" s="16"/>
      <c r="H95" s="16"/>
      <c r="I95" s="16"/>
      <c r="J95" s="16"/>
    </row>
    <row r="96" spans="1:10" hidden="1" x14ac:dyDescent="0.25">
      <c r="A96" s="2"/>
      <c r="B96" s="16" t="s">
        <v>113</v>
      </c>
      <c r="C96" s="199">
        <f>C88+C93</f>
        <v>0</v>
      </c>
      <c r="D96" s="199"/>
      <c r="E96" s="199">
        <f>E88+E93</f>
        <v>0</v>
      </c>
      <c r="F96" s="199"/>
      <c r="G96" s="199">
        <f>G88+G93</f>
        <v>0</v>
      </c>
      <c r="H96" s="199"/>
      <c r="I96" s="199">
        <f>I88+I93</f>
        <v>0</v>
      </c>
      <c r="J96" s="199"/>
    </row>
    <row r="97" spans="1:10" hidden="1" x14ac:dyDescent="0.25">
      <c r="A97" s="2"/>
      <c r="B97" s="16"/>
      <c r="C97" s="16"/>
      <c r="D97" s="16"/>
      <c r="E97" s="16"/>
      <c r="F97" s="16"/>
      <c r="G97" s="16"/>
      <c r="H97" s="16"/>
      <c r="I97" s="16"/>
      <c r="J97" s="16"/>
    </row>
    <row r="98" spans="1:10" hidden="1" x14ac:dyDescent="0.25">
      <c r="A98" s="2"/>
    </row>
    <row r="99" spans="1:10" hidden="1" x14ac:dyDescent="0.25">
      <c r="A99" s="2"/>
    </row>
    <row r="100" spans="1:10" hidden="1" x14ac:dyDescent="0.25">
      <c r="A100" s="2"/>
    </row>
    <row r="101" spans="1:10" hidden="1" x14ac:dyDescent="0.25">
      <c r="A101" s="2"/>
      <c r="C101" s="191">
        <f>C47-C84</f>
        <v>234479.0343329786</v>
      </c>
      <c r="D101" s="191"/>
      <c r="E101" s="191">
        <f>E47-E84</f>
        <v>55859.357411500016</v>
      </c>
      <c r="F101" s="191"/>
      <c r="G101" s="191">
        <f>G47-G84</f>
        <v>76079.313569542195</v>
      </c>
      <c r="H101" s="191"/>
      <c r="I101" s="191">
        <f>I47-I84</f>
        <v>473.50083896899787</v>
      </c>
      <c r="J101" s="191"/>
    </row>
    <row r="102" spans="1:10" hidden="1" x14ac:dyDescent="0.25">
      <c r="A102" s="2"/>
      <c r="C102" s="2" t="s">
        <v>114</v>
      </c>
    </row>
    <row r="103" spans="1:10" hidden="1" x14ac:dyDescent="0.25">
      <c r="A103" s="2"/>
      <c r="C103" s="2" t="s">
        <v>115</v>
      </c>
      <c r="E103" s="2" t="s">
        <v>105</v>
      </c>
      <c r="F103" s="2" t="s">
        <v>106</v>
      </c>
    </row>
    <row r="104" spans="1:10" hidden="1" x14ac:dyDescent="0.25">
      <c r="A104" s="2"/>
      <c r="B104" s="200" t="s">
        <v>116</v>
      </c>
      <c r="C104" s="201">
        <f>'[2]Д3(вробн)'!L43</f>
        <v>205729.57364794498</v>
      </c>
      <c r="D104" s="58"/>
      <c r="E104" s="58">
        <f>'[2]Д3(вробн)'!AB43</f>
        <v>59568.711269323925</v>
      </c>
      <c r="F104" s="58">
        <f>'[2]Д3(вробн)'!P43</f>
        <v>395.60065260758427</v>
      </c>
    </row>
    <row r="105" spans="1:10" hidden="1" x14ac:dyDescent="0.25">
      <c r="A105" s="2"/>
      <c r="B105" s="200" t="s">
        <v>117</v>
      </c>
      <c r="C105" s="202">
        <f>'[2]Д4(транспорт)'!K36</f>
        <v>69501.13230300002</v>
      </c>
      <c r="D105" s="58"/>
      <c r="E105" s="58">
        <f>'[2]Д4(транспорт)'!W36</f>
        <v>9540.8996272100012</v>
      </c>
      <c r="F105" s="58">
        <f>'[2]Д4(транспорт)'!O36</f>
        <v>126.15874146</v>
      </c>
    </row>
    <row r="106" spans="1:10" hidden="1" x14ac:dyDescent="0.25">
      <c r="A106" s="2"/>
      <c r="B106" s="200" t="s">
        <v>118</v>
      </c>
      <c r="C106" s="201">
        <f>'[2]Д5(постачанняя)'!K32</f>
        <v>2935.511878147503</v>
      </c>
      <c r="D106" s="58"/>
      <c r="E106" s="58">
        <f>'[2]Д5(постачанняя)'!W32</f>
        <v>324.65532005406857</v>
      </c>
      <c r="F106" s="58">
        <f>'[2]Д5(постачанняя)'!O32</f>
        <v>3.7562312486560683</v>
      </c>
    </row>
    <row r="107" spans="1:10" hidden="1" x14ac:dyDescent="0.25">
      <c r="A107" s="2"/>
      <c r="B107" s="200" t="s">
        <v>119</v>
      </c>
      <c r="C107" s="203">
        <f>SUM(C104:C106)</f>
        <v>278166.21782909252</v>
      </c>
      <c r="D107" s="203"/>
      <c r="E107" s="203">
        <f>SUM(E104:E106)</f>
        <v>69434.266216587988</v>
      </c>
      <c r="F107" s="203">
        <f>SUM(F104:F106)</f>
        <v>525.51562531624029</v>
      </c>
      <c r="G107" s="204">
        <f>C107+D107+E107+F107</f>
        <v>348125.99967099674</v>
      </c>
    </row>
    <row r="108" spans="1:10" hidden="1" x14ac:dyDescent="0.25">
      <c r="A108" s="2"/>
      <c r="B108" s="200" t="s">
        <v>120</v>
      </c>
      <c r="C108" s="204">
        <f>C38-C107</f>
        <v>-50967.157008998533</v>
      </c>
      <c r="D108" s="204"/>
      <c r="E108" s="204">
        <f>E107-G38</f>
        <v>-3952.9544536742033</v>
      </c>
      <c r="F108" s="204">
        <f>F107-I38</f>
        <v>67.666729034217383</v>
      </c>
    </row>
    <row r="109" spans="1:10" hidden="1" x14ac:dyDescent="0.25"/>
    <row r="110" spans="1:10" hidden="1" x14ac:dyDescent="0.25"/>
    <row r="111" spans="1:10" hidden="1" x14ac:dyDescent="0.25"/>
    <row r="112" spans="1:10" hidden="1" x14ac:dyDescent="0.25"/>
    <row r="113" spans="1:11" hidden="1" x14ac:dyDescent="0.25"/>
    <row r="114" spans="1:11" hidden="1" x14ac:dyDescent="0.25">
      <c r="C114" s="58">
        <f>[2]виробн!C41+[2]транспорт!C37+[2]постачання!C32</f>
        <v>217808.30962928094</v>
      </c>
      <c r="D114" s="58"/>
      <c r="E114" s="58">
        <f>[2]виробн!E41+[2]транспорт!E37+[2]постачання!E32</f>
        <v>52572.604155608118</v>
      </c>
      <c r="F114" s="58">
        <f>[2]виробн!F41+[2]транспорт!F37+[2]постачання!F32</f>
        <v>3389.1461254707219</v>
      </c>
      <c r="G114" s="58">
        <f>[2]виробн!G41+[2]транспорт!G37+[2]постачання!G32</f>
        <v>69764.399283677107</v>
      </c>
      <c r="H114" s="58">
        <f>[2]виробн!H41+[2]транспорт!H37+[2]постачання!H32</f>
        <v>6180.8813795393398</v>
      </c>
      <c r="I114" s="58">
        <f>[2]виробн!I41+[2]транспорт!I37+[2]постачання!I32</f>
        <v>445.83063847134713</v>
      </c>
      <c r="J114" s="58" t="e">
        <f>[2]виробн!J41+[2]транспорт!#REF!+[2]постачання!#REF!</f>
        <v>#REF!</v>
      </c>
      <c r="K114" s="58">
        <f>[2]виробн!K41+[2]транспорт!J37+[2]постачання!J32</f>
        <v>236384.37859144944</v>
      </c>
    </row>
    <row r="115" spans="1:11" hidden="1" x14ac:dyDescent="0.25"/>
    <row r="116" spans="1:11" hidden="1" x14ac:dyDescent="0.25"/>
    <row r="117" spans="1:11" hidden="1" x14ac:dyDescent="0.25">
      <c r="C117" s="191">
        <f>'[2]5_Розрахунок тарифів'!E8</f>
        <v>278166217.91106528</v>
      </c>
      <c r="E117" s="191">
        <f>'[2]5_Розрахунок тарифів'!G8</f>
        <v>71051939.026949972</v>
      </c>
    </row>
    <row r="118" spans="1:11" hidden="1" x14ac:dyDescent="0.25"/>
    <row r="119" spans="1:11" ht="15.75" hidden="1" x14ac:dyDescent="0.25">
      <c r="C119" s="21"/>
      <c r="D119" s="205"/>
      <c r="E119" s="206" t="str">
        <f>F71</f>
        <v>бюджет</v>
      </c>
      <c r="F119" s="206" t="str">
        <f>H71</f>
        <v>інші</v>
      </c>
      <c r="G119" s="206" t="str">
        <f>J71</f>
        <v>релігія</v>
      </c>
    </row>
    <row r="120" spans="1:11" ht="15.75" hidden="1" x14ac:dyDescent="0.25">
      <c r="C120" s="21" t="s">
        <v>116</v>
      </c>
      <c r="D120" s="207"/>
      <c r="E120" s="208">
        <f>F72</f>
        <v>2537.1188173186101</v>
      </c>
      <c r="F120" s="208">
        <f>H72</f>
        <v>4848.1431133206042</v>
      </c>
      <c r="G120" s="208">
        <f>J72</f>
        <v>2537.1275435566813</v>
      </c>
    </row>
    <row r="121" spans="1:11" ht="15.75" hidden="1" x14ac:dyDescent="0.25">
      <c r="A121" s="2"/>
      <c r="C121" s="21" t="s">
        <v>117</v>
      </c>
      <c r="D121" s="207"/>
      <c r="E121" s="208">
        <f>F73</f>
        <v>941.26</v>
      </c>
      <c r="F121" s="208">
        <f>H73</f>
        <v>1529.47</v>
      </c>
      <c r="G121" s="208">
        <f>J73</f>
        <v>966.06</v>
      </c>
    </row>
    <row r="122" spans="1:11" ht="15.75" hidden="1" x14ac:dyDescent="0.25">
      <c r="A122" s="2"/>
      <c r="C122" s="21" t="s">
        <v>118</v>
      </c>
      <c r="D122" s="207"/>
      <c r="E122" s="208" t="e">
        <f>F74</f>
        <v>#REF!</v>
      </c>
      <c r="F122" s="208" t="e">
        <f>H74</f>
        <v>#REF!</v>
      </c>
      <c r="G122" s="208" t="e">
        <f>J74</f>
        <v>#REF!</v>
      </c>
    </row>
    <row r="123" spans="1:11" ht="15.75" hidden="1" x14ac:dyDescent="0.25">
      <c r="A123" s="2"/>
      <c r="C123" s="21"/>
      <c r="D123" s="209"/>
      <c r="E123" s="210" t="e">
        <f>SUM(E120:E122)</f>
        <v>#REF!</v>
      </c>
      <c r="F123" s="210" t="e">
        <f>SUM(F120:F122)</f>
        <v>#REF!</v>
      </c>
      <c r="G123" s="210" t="e">
        <f>SUM(G120:G122)</f>
        <v>#REF!</v>
      </c>
    </row>
    <row r="124" spans="1:11" hidden="1" x14ac:dyDescent="0.25">
      <c r="A124" s="2"/>
      <c r="E124" s="191"/>
    </row>
    <row r="125" spans="1:11" hidden="1" x14ac:dyDescent="0.25"/>
    <row r="126" spans="1:11" hidden="1" x14ac:dyDescent="0.25">
      <c r="A126" s="2"/>
      <c r="D126" s="211"/>
    </row>
    <row r="127" spans="1:11" hidden="1" x14ac:dyDescent="0.25">
      <c r="D127" s="58"/>
    </row>
    <row r="128" spans="1:11" hidden="1" x14ac:dyDescent="0.25"/>
    <row r="129" spans="1:11" hidden="1" x14ac:dyDescent="0.25"/>
    <row r="130" spans="1:11" s="30" customFormat="1" ht="18.75" hidden="1" x14ac:dyDescent="0.3">
      <c r="A130" s="168"/>
      <c r="C130" s="212" t="s">
        <v>121</v>
      </c>
      <c r="D130" s="213">
        <f>2297.52*1.2</f>
        <v>2757.0239999999999</v>
      </c>
      <c r="E130" s="213"/>
      <c r="F130" s="213">
        <f>3601.02*1.2</f>
        <v>4321.2240000000002</v>
      </c>
      <c r="G130" s="213"/>
      <c r="H130" s="213">
        <f>6740.35*1.2</f>
        <v>8088.42</v>
      </c>
      <c r="I130" s="213"/>
      <c r="J130" s="213">
        <f>3625.82*1.2</f>
        <v>4350.9840000000004</v>
      </c>
    </row>
    <row r="131" spans="1:11" hidden="1" x14ac:dyDescent="0.25"/>
    <row r="132" spans="1:11" ht="18.75" hidden="1" x14ac:dyDescent="0.3">
      <c r="D132" s="29">
        <f>[2]виробн!D51+[2]транспорт!D62+[2]постачання!D41</f>
        <v>2205.0597962291645</v>
      </c>
      <c r="E132" s="29"/>
      <c r="F132" s="29">
        <f>[2]виробн!F51+[2]транспорт!F62+[2]постачання!F41</f>
        <v>3508.5452303259972</v>
      </c>
      <c r="G132" s="29"/>
      <c r="H132" s="29">
        <f>[2]виробн!H51+[2]транспорт!H62+[2]постачання!H41</f>
        <v>6407.7795263294865</v>
      </c>
      <c r="I132" s="29"/>
      <c r="J132" s="29">
        <f>[2]виробн!J51+[2]транспорт!J62+[2]постачання!J41</f>
        <v>3533.3539560993786</v>
      </c>
    </row>
    <row r="133" spans="1:11" hidden="1" x14ac:dyDescent="0.25"/>
    <row r="134" spans="1:11" ht="18.75" hidden="1" x14ac:dyDescent="0.3">
      <c r="D134" s="29">
        <f>[2]виробн!D51+[2]транспорт!D62+[2]постачання!D50</f>
        <v>2390.9268980307706</v>
      </c>
    </row>
    <row r="135" spans="1:11" hidden="1" x14ac:dyDescent="0.25"/>
    <row r="136" spans="1:11" hidden="1" x14ac:dyDescent="0.25"/>
    <row r="137" spans="1:11" ht="18.75" x14ac:dyDescent="0.3">
      <c r="C137" s="30"/>
      <c r="D137" s="29"/>
    </row>
    <row r="138" spans="1:11" x14ac:dyDescent="0.25">
      <c r="D138" s="211"/>
      <c r="E138" s="211"/>
      <c r="F138" s="211"/>
      <c r="G138" s="211"/>
      <c r="H138" s="211"/>
      <c r="I138" s="211"/>
      <c r="J138" s="211"/>
      <c r="K138" s="211"/>
    </row>
    <row r="139" spans="1:11" x14ac:dyDescent="0.25">
      <c r="D139" s="58"/>
    </row>
    <row r="141" spans="1:11" x14ac:dyDescent="0.25">
      <c r="D141" s="211"/>
      <c r="E141" s="211"/>
      <c r="F141" s="211"/>
      <c r="G141" s="211"/>
      <c r="H141" s="211"/>
      <c r="I141" s="211"/>
      <c r="J141" s="211"/>
      <c r="K141" s="211"/>
    </row>
  </sheetData>
  <mergeCells count="12">
    <mergeCell ref="A8:A9"/>
    <mergeCell ref="B8:B9"/>
    <mergeCell ref="C8:D8"/>
    <mergeCell ref="E8:F8"/>
    <mergeCell ref="G8:H8"/>
    <mergeCell ref="I8:J8"/>
    <mergeCell ref="K8:K9"/>
    <mergeCell ref="F68:G68"/>
    <mergeCell ref="I1:K1"/>
    <mergeCell ref="B4:H4"/>
    <mergeCell ref="B5:H5"/>
    <mergeCell ref="B6:H6"/>
  </mergeCells>
  <conditionalFormatting sqref="K5">
    <cfRule type="cellIs" dxfId="0" priority="1" operator="equal">
      <formula>0</formula>
    </cfRule>
  </conditionalFormatting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PAO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Коновалова Виктория Геннадьевна</dc:creator>
  <cp:lastModifiedBy>Администратор</cp:lastModifiedBy>
  <cp:lastPrinted>2022-02-18T07:57:42Z</cp:lastPrinted>
  <dcterms:created xsi:type="dcterms:W3CDTF">2022-02-18T07:55:02Z</dcterms:created>
  <dcterms:modified xsi:type="dcterms:W3CDTF">2022-02-18T08:25:49Z</dcterms:modified>
</cp:coreProperties>
</file>